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pivotTables/pivotTable1.xml" ContentType="application/vnd.openxmlformats-officedocument.spreadsheetml.pivotTable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FF) IAFF 82\Salary Schedules\"/>
    </mc:Choice>
  </mc:AlternateContent>
  <xr:revisionPtr revIDLastSave="0" documentId="13_ncr:1_{0AF64E95-3C41-4209-AA23-0BEBA7F89938}" xr6:coauthVersionLast="47" xr6:coauthVersionMax="47" xr10:uidLastSave="{00000000-0000-0000-0000-000000000000}"/>
  <workbookProtection lockStructure="1"/>
  <bookViews>
    <workbookView xWindow="0" yWindow="225" windowWidth="19200" windowHeight="11055" firstSheet="28" activeTab="28" xr2:uid="{00000000-000D-0000-FFFF-FFFF00000000}"/>
  </bookViews>
  <sheets>
    <sheet name="Sept 9, 2007" sheetId="7" state="hidden" r:id="rId1"/>
    <sheet name="January 1, 2008" sheetId="1" state="hidden" r:id="rId2"/>
    <sheet name="October 26, 2008" sheetId="2" state="hidden" r:id="rId3"/>
    <sheet name="December 31, 2008" sheetId="6" state="hidden" r:id="rId4"/>
    <sheet name="January 1, 2010" sheetId="3" state="hidden" r:id="rId5"/>
    <sheet name="January 1, 2011" sheetId="8" state="hidden" r:id="rId6"/>
    <sheet name="January 1, 2012" sheetId="9" state="hidden" r:id="rId7"/>
    <sheet name="January 1, 2013" sheetId="10" state="hidden" r:id="rId8"/>
    <sheet name="January 1, 2014" sheetId="12" state="hidden" r:id="rId9"/>
    <sheet name="January 1, 2015" sheetId="13" state="hidden" r:id="rId10"/>
    <sheet name="January 1, 2016" sheetId="14" state="hidden" r:id="rId11"/>
    <sheet name="January 1, 2017" sheetId="15" state="hidden" r:id="rId12"/>
    <sheet name="January 1, 2018" sheetId="16" state="hidden" r:id="rId13"/>
    <sheet name="Sheet2" sheetId="27" state="hidden" r:id="rId14"/>
    <sheet name="Sheet3" sheetId="28" state="hidden" r:id="rId15"/>
    <sheet name="sheet1" sheetId="26" state="hidden" r:id="rId16"/>
    <sheet name="July 1, 2018 " sheetId="17" state="hidden" r:id="rId17"/>
    <sheet name="January 1, 2019" sheetId="18" state="hidden" r:id="rId18"/>
    <sheet name="Corrections" sheetId="29" state="hidden" r:id="rId19"/>
    <sheet name="April 1, 2019" sheetId="19" state="hidden" r:id="rId20"/>
    <sheet name="January 1, 2020" sheetId="20" state="hidden" r:id="rId21"/>
    <sheet name="July 1, 2020" sheetId="21" state="hidden" r:id="rId22"/>
    <sheet name="January 1, 2021" sheetId="22" state="hidden" r:id="rId23"/>
    <sheet name="July 1, 2021" sheetId="23" state="hidden" r:id="rId24"/>
    <sheet name="January 1, 2022" sheetId="30" state="hidden" r:id="rId25"/>
    <sheet name="January 1, 2023" sheetId="31" state="hidden" r:id="rId26"/>
    <sheet name="January 1, 2024" sheetId="32" state="hidden" r:id="rId27"/>
    <sheet name="January 1, 2025" sheetId="33" state="hidden" r:id="rId28"/>
    <sheet name="January 1, 2026" sheetId="34" r:id="rId29"/>
    <sheet name="January 1, 2027" sheetId="35" r:id="rId30"/>
    <sheet name="January 1, 2028" sheetId="36" r:id="rId31"/>
    <sheet name="Notes" sheetId="25" state="hidden" r:id="rId32"/>
    <sheet name="Long+Selection breakdown" sheetId="24" state="hidden" r:id="rId33"/>
  </sheets>
  <externalReferences>
    <externalReference r:id="rId34"/>
    <externalReference r:id="rId35"/>
  </externalReferences>
  <definedNames>
    <definedName name="_xlnm._FilterDatabase" localSheetId="22" hidden="1">'January 1, 2021'!$A$3:$AA$22</definedName>
    <definedName name="_xlnm._FilterDatabase" localSheetId="24" hidden="1">'January 1, 2022'!$A$7:$Z$26</definedName>
    <definedName name="_xlnm._FilterDatabase" localSheetId="25" hidden="1">'January 1, 2023'!$A$8:$Z$27</definedName>
    <definedName name="_xlnm._FilterDatabase" localSheetId="26" hidden="1">'January 1, 2024'!$A$8:$AJ$27</definedName>
    <definedName name="_xlnm._FilterDatabase" localSheetId="27" hidden="1">'January 1, 2025'!$A$8:$Z$27</definedName>
    <definedName name="_xlnm._FilterDatabase" localSheetId="28" hidden="1">'January 1, 2026'!$A$8:$Z$27</definedName>
    <definedName name="_xlnm._FilterDatabase" localSheetId="29" hidden="1">'January 1, 2027'!$A$8:$Z$27</definedName>
    <definedName name="_xlnm._FilterDatabase" localSheetId="30" hidden="1">'January 1, 2028'!$A$8:$Z$27</definedName>
    <definedName name="_xlnm._FilterDatabase" localSheetId="21" hidden="1">'July 1, 2020'!$A$3:$V$21</definedName>
    <definedName name="_xlnm._FilterDatabase" localSheetId="23" hidden="1">'July 1, 2021'!$A$3:$Y$22</definedName>
    <definedName name="check">#REF!</definedName>
    <definedName name="Data2021">'July 1, 2021'!$R$3:$Y$65</definedName>
    <definedName name="Data2022">'January 1, 2022'!$S$7:$Z$69</definedName>
    <definedName name="Data2023">'January 1, 2023'!$S$8:$Z$70</definedName>
    <definedName name="Data2024">'January 1, 2024'!$S$8:$Z$70</definedName>
    <definedName name="Data2025">'January 1, 2025'!$A$8:$N$77</definedName>
    <definedName name="Data2026">'January 1, 2026'!$A$8:$N$75</definedName>
    <definedName name="Data2027">'January 1, 2027'!$A$8:$N$71</definedName>
    <definedName name="IncreasePerc2027" localSheetId="30">'January 1, 2028'!$R$2</definedName>
    <definedName name="IncreasePerc2027">'January 1, 2027'!$R$2</definedName>
    <definedName name="IncreasePerc2028">'January 1, 2028'!$R$2</definedName>
    <definedName name="IncrPerc2022">'January 1, 2022'!$R$1</definedName>
    <definedName name="IncrPerc2023" localSheetId="25">'January 1, 2023'!$R$2</definedName>
    <definedName name="IncrPerc2024">'January 1, 2024'!$R$2</definedName>
    <definedName name="IncrPerc2025" localSheetId="28">'January 1, 2026'!$R$2</definedName>
    <definedName name="IncrPerc2025" localSheetId="29">'January 1, 2027'!$R$2</definedName>
    <definedName name="IncrPerc2025" localSheetId="30">'January 1, 2028'!$R$2</definedName>
    <definedName name="IncrPerc2025">'January 1, 2025'!$R$2</definedName>
    <definedName name="IncrPerc2026" localSheetId="29">'January 1, 2027'!$R$2</definedName>
    <definedName name="IncrPerc2026" localSheetId="30">'January 1, 2028'!$R$2</definedName>
    <definedName name="IncrPerc2026">'January 1, 2026'!$R$2</definedName>
    <definedName name="Jan2021Rates">'January 1, 2021'!$A$3:$L$18</definedName>
    <definedName name="PercIncrJuly2021">'July 1, 2021'!$P$1</definedName>
    <definedName name="_xlnm.Print_Area" localSheetId="3">'December 31, 2008'!$A$1:$N$52</definedName>
    <definedName name="_xlnm.Print_Area" localSheetId="1">'January 1, 2008'!$A$1:$N$52</definedName>
    <definedName name="_xlnm.Print_Area" localSheetId="4">'January 1, 2010'!$A$1:$N$52</definedName>
    <definedName name="_xlnm.Print_Area" localSheetId="5">'January 1, 2011'!$A$1:$N$53</definedName>
    <definedName name="_xlnm.Print_Area" localSheetId="6">'January 1, 2012'!$A$1:$N$53</definedName>
    <definedName name="_xlnm.Print_Area" localSheetId="7">'January 1, 2013'!$A$1:$N$54</definedName>
    <definedName name="_xlnm.Print_Area" localSheetId="8">'January 1, 2014'!$A$1:$N$54</definedName>
    <definedName name="_xlnm.Print_Area" localSheetId="9">'January 1, 2015'!$A$1:$N$48</definedName>
    <definedName name="_xlnm.Print_Area" localSheetId="10">'January 1, 2016'!$A$1:$N$48</definedName>
    <definedName name="_xlnm.Print_Area" localSheetId="11">'January 1, 2017'!$A$1:$N$48</definedName>
    <definedName name="_xlnm.Print_Area" localSheetId="12">'January 1, 2018'!$A$1:$N$48</definedName>
    <definedName name="_xlnm.Print_Area" localSheetId="17">'January 1, 2019'!$A$42:$Y$47</definedName>
    <definedName name="_xlnm.Print_Area" localSheetId="20">'January 1, 2020'!$A$1:$V$17</definedName>
    <definedName name="_xlnm.Print_Area" localSheetId="22">'January 1, 2021'!$A$1:$Y$17</definedName>
    <definedName name="_xlnm.Print_Area" localSheetId="24">'January 1, 2022'!$A$1:$Y$21</definedName>
    <definedName name="_xlnm.Print_Area" localSheetId="25">'January 1, 2023'!$A$1:$N$76</definedName>
    <definedName name="_xlnm.Print_Area" localSheetId="26">'January 1, 2024'!$A$1:$M$77</definedName>
    <definedName name="_xlnm.Print_Area" localSheetId="27">'January 1, 2025'!$A$1:$N$76</definedName>
    <definedName name="_xlnm.Print_Area" localSheetId="28">'January 1, 2026'!$A$1:$N$76</definedName>
    <definedName name="_xlnm.Print_Area" localSheetId="29">'January 1, 2027'!$A$1:$N$76</definedName>
    <definedName name="_xlnm.Print_Area" localSheetId="30">'January 1, 2028'!$A$1:$N$76</definedName>
    <definedName name="_xlnm.Print_Area" localSheetId="16">'July 1, 2018 '!$A$1:$V$17</definedName>
    <definedName name="_xlnm.Print_Area" localSheetId="21">'July 1, 2020'!$A$1:$V$17</definedName>
    <definedName name="_xlnm.Print_Area" localSheetId="23">'July 1, 2021'!$A$1:$X$17</definedName>
    <definedName name="_xlnm.Print_Area" localSheetId="2">'October 26, 2008'!$A$1:$N$52</definedName>
    <definedName name="_xlnm.Print_Area" localSheetId="0">'Sept 9, 2007'!$A$1:$N$52</definedName>
  </definedNames>
  <calcPr calcId="191029"/>
  <pivotCaches>
    <pivotCache cacheId="0" r:id="rId3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9" i="36" l="1"/>
  <c r="W9" i="36"/>
  <c r="X9" i="36"/>
  <c r="S70" i="36"/>
  <c r="AK70" i="36" s="1"/>
  <c r="S69" i="36"/>
  <c r="AK69" i="36" s="1"/>
  <c r="S68" i="36"/>
  <c r="AK68" i="36" s="1"/>
  <c r="AK67" i="36"/>
  <c r="S67" i="36"/>
  <c r="AK66" i="36"/>
  <c r="S66" i="36"/>
  <c r="AK65" i="36"/>
  <c r="S65" i="36"/>
  <c r="AK64" i="36"/>
  <c r="S64" i="36"/>
  <c r="S63" i="36"/>
  <c r="AK63" i="36" s="1"/>
  <c r="AK62" i="36"/>
  <c r="S62" i="36"/>
  <c r="AK61" i="36"/>
  <c r="S61" i="36"/>
  <c r="S60" i="36"/>
  <c r="AK60" i="36" s="1"/>
  <c r="S59" i="36"/>
  <c r="AK59" i="36" s="1"/>
  <c r="S58" i="36"/>
  <c r="AK58" i="36" s="1"/>
  <c r="S57" i="36"/>
  <c r="AK57" i="36" s="1"/>
  <c r="S56" i="36"/>
  <c r="AK56" i="36" s="1"/>
  <c r="AK55" i="36"/>
  <c r="S55" i="36"/>
  <c r="AK54" i="36"/>
  <c r="S54" i="36"/>
  <c r="AK53" i="36"/>
  <c r="S53" i="36"/>
  <c r="AK52" i="36"/>
  <c r="S52" i="36"/>
  <c r="S51" i="36"/>
  <c r="AK51" i="36" s="1"/>
  <c r="AO50" i="36"/>
  <c r="AN50" i="36"/>
  <c r="AK48" i="36"/>
  <c r="S48" i="36"/>
  <c r="S47" i="36"/>
  <c r="AK47" i="36" s="1"/>
  <c r="AK46" i="36"/>
  <c r="S46" i="36"/>
  <c r="AK45" i="36"/>
  <c r="S45" i="36"/>
  <c r="S44" i="36"/>
  <c r="AK44" i="36" s="1"/>
  <c r="S43" i="36"/>
  <c r="AK43" i="36" s="1"/>
  <c r="S42" i="36"/>
  <c r="AK42" i="36" s="1"/>
  <c r="S41" i="36"/>
  <c r="AK41" i="36" s="1"/>
  <c r="AK40" i="36"/>
  <c r="S40" i="36"/>
  <c r="AK39" i="36"/>
  <c r="S39" i="36"/>
  <c r="AK38" i="36"/>
  <c r="S38" i="36"/>
  <c r="AK37" i="36"/>
  <c r="S37" i="36"/>
  <c r="AK36" i="36"/>
  <c r="S36" i="36"/>
  <c r="S35" i="36"/>
  <c r="AK35" i="36" s="1"/>
  <c r="AK34" i="36"/>
  <c r="S34" i="36"/>
  <c r="AK33" i="36"/>
  <c r="S33" i="36"/>
  <c r="S32" i="36"/>
  <c r="AK32" i="36" s="1"/>
  <c r="S31" i="36"/>
  <c r="AK31" i="36" s="1"/>
  <c r="S30" i="36"/>
  <c r="AK30" i="36" s="1"/>
  <c r="AO29" i="36"/>
  <c r="AN29" i="36"/>
  <c r="AK29" i="36"/>
  <c r="AM23" i="36"/>
  <c r="AL23" i="36"/>
  <c r="AK23" i="36"/>
  <c r="AM22" i="36"/>
  <c r="S22" i="36"/>
  <c r="AK22" i="36" s="1"/>
  <c r="C22" i="36"/>
  <c r="AL22" i="36" s="1"/>
  <c r="AM21" i="36"/>
  <c r="S21" i="36"/>
  <c r="AK21" i="36" s="1"/>
  <c r="C21" i="36"/>
  <c r="AL21" i="36" s="1"/>
  <c r="AM20" i="36"/>
  <c r="AK20" i="36"/>
  <c r="S20" i="36"/>
  <c r="C20" i="36"/>
  <c r="AL20" i="36" s="1"/>
  <c r="AM19" i="36"/>
  <c r="AK19" i="36"/>
  <c r="S19" i="36"/>
  <c r="C19" i="36"/>
  <c r="AL19" i="36" s="1"/>
  <c r="AM18" i="36"/>
  <c r="S18" i="36"/>
  <c r="AK18" i="36" s="1"/>
  <c r="C18" i="36"/>
  <c r="AL18" i="36" s="1"/>
  <c r="AM17" i="36"/>
  <c r="AK17" i="36"/>
  <c r="S17" i="36"/>
  <c r="C17" i="36"/>
  <c r="AL17" i="36" s="1"/>
  <c r="AM16" i="36"/>
  <c r="S16" i="36"/>
  <c r="AK16" i="36" s="1"/>
  <c r="C16" i="36"/>
  <c r="AL16" i="36" s="1"/>
  <c r="AM15" i="36"/>
  <c r="S15" i="36"/>
  <c r="AK15" i="36" s="1"/>
  <c r="C15" i="36"/>
  <c r="AL15" i="36" s="1"/>
  <c r="AM14" i="36"/>
  <c r="AK14" i="36"/>
  <c r="S14" i="36"/>
  <c r="C14" i="36"/>
  <c r="AL14" i="36" s="1"/>
  <c r="AM13" i="36"/>
  <c r="S13" i="36"/>
  <c r="AK13" i="36" s="1"/>
  <c r="C13" i="36"/>
  <c r="AL13" i="36" s="1"/>
  <c r="AM12" i="36"/>
  <c r="S12" i="36"/>
  <c r="AK12" i="36" s="1"/>
  <c r="C12" i="36"/>
  <c r="AL12" i="36" s="1"/>
  <c r="AM11" i="36"/>
  <c r="AK11" i="36"/>
  <c r="S11" i="36"/>
  <c r="C11" i="36"/>
  <c r="AL11" i="36" s="1"/>
  <c r="AM10" i="36"/>
  <c r="AL10" i="36"/>
  <c r="AK10" i="36"/>
  <c r="S10" i="36"/>
  <c r="C10" i="36"/>
  <c r="AM9" i="36"/>
  <c r="AL9" i="36"/>
  <c r="AK9" i="36"/>
  <c r="S9" i="36"/>
  <c r="C9" i="36"/>
  <c r="Z21" i="35"/>
  <c r="Z22" i="35"/>
  <c r="S70" i="35"/>
  <c r="AK70" i="35" s="1"/>
  <c r="S69" i="35"/>
  <c r="AK69" i="35" s="1"/>
  <c r="AK68" i="35"/>
  <c r="S68" i="35"/>
  <c r="AK67" i="35"/>
  <c r="S67" i="35"/>
  <c r="AK66" i="35"/>
  <c r="S66" i="35"/>
  <c r="AK65" i="35"/>
  <c r="S65" i="35"/>
  <c r="AK64" i="35"/>
  <c r="S64" i="35"/>
  <c r="AK63" i="35"/>
  <c r="S63" i="35"/>
  <c r="S62" i="35"/>
  <c r="AK62" i="35" s="1"/>
  <c r="S61" i="35"/>
  <c r="AK61" i="35" s="1"/>
  <c r="S60" i="35"/>
  <c r="AK60" i="35" s="1"/>
  <c r="S59" i="35"/>
  <c r="AK59" i="35" s="1"/>
  <c r="S58" i="35"/>
  <c r="AK58" i="35" s="1"/>
  <c r="S57" i="35"/>
  <c r="AK57" i="35" s="1"/>
  <c r="AK56" i="35"/>
  <c r="S56" i="35"/>
  <c r="AK55" i="35"/>
  <c r="S55" i="35"/>
  <c r="AK54" i="35"/>
  <c r="S54" i="35"/>
  <c r="AK53" i="35"/>
  <c r="S53" i="35"/>
  <c r="AK52" i="35"/>
  <c r="S52" i="35"/>
  <c r="AK51" i="35"/>
  <c r="S51" i="35"/>
  <c r="AO50" i="35"/>
  <c r="AN50" i="35"/>
  <c r="AK48" i="35"/>
  <c r="S48" i="35"/>
  <c r="AK47" i="35"/>
  <c r="S47" i="35"/>
  <c r="S46" i="35"/>
  <c r="AK46" i="35" s="1"/>
  <c r="S45" i="35"/>
  <c r="AK45" i="35" s="1"/>
  <c r="S44" i="35"/>
  <c r="AK44" i="35" s="1"/>
  <c r="S43" i="35"/>
  <c r="AK43" i="35" s="1"/>
  <c r="S42" i="35"/>
  <c r="AK42" i="35" s="1"/>
  <c r="S41" i="35"/>
  <c r="AK41" i="35" s="1"/>
  <c r="AK40" i="35"/>
  <c r="S40" i="35"/>
  <c r="AK39" i="35"/>
  <c r="S39" i="35"/>
  <c r="AK38" i="35"/>
  <c r="S38" i="35"/>
  <c r="AK37" i="35"/>
  <c r="S37" i="35"/>
  <c r="AK36" i="35"/>
  <c r="S36" i="35"/>
  <c r="AK35" i="35"/>
  <c r="S35" i="35"/>
  <c r="S34" i="35"/>
  <c r="AK34" i="35" s="1"/>
  <c r="S33" i="35"/>
  <c r="AK33" i="35" s="1"/>
  <c r="S32" i="35"/>
  <c r="AK32" i="35" s="1"/>
  <c r="S31" i="35"/>
  <c r="AK31" i="35" s="1"/>
  <c r="S30" i="35"/>
  <c r="AK30" i="35" s="1"/>
  <c r="AO29" i="35"/>
  <c r="AN29" i="35"/>
  <c r="AK29" i="35"/>
  <c r="AM23" i="35"/>
  <c r="AL23" i="35"/>
  <c r="AK23" i="35"/>
  <c r="AM22" i="35"/>
  <c r="AL22" i="35"/>
  <c r="S22" i="35"/>
  <c r="AK22" i="35" s="1"/>
  <c r="C22" i="35"/>
  <c r="AM21" i="35"/>
  <c r="AL21" i="35"/>
  <c r="S21" i="35"/>
  <c r="AK21" i="35" s="1"/>
  <c r="C21" i="35"/>
  <c r="AM20" i="35"/>
  <c r="AK20" i="35"/>
  <c r="S20" i="35"/>
  <c r="C20" i="35"/>
  <c r="AL20" i="35" s="1"/>
  <c r="AM19" i="35"/>
  <c r="S19" i="35"/>
  <c r="AK19" i="35" s="1"/>
  <c r="C19" i="35"/>
  <c r="AL19" i="35" s="1"/>
  <c r="AM18" i="35"/>
  <c r="AK18" i="35"/>
  <c r="S18" i="35"/>
  <c r="C18" i="35"/>
  <c r="AL18" i="35" s="1"/>
  <c r="AM17" i="35"/>
  <c r="AK17" i="35"/>
  <c r="S17" i="35"/>
  <c r="C17" i="35"/>
  <c r="AL17" i="35" s="1"/>
  <c r="AM16" i="35"/>
  <c r="S16" i="35"/>
  <c r="AK16" i="35" s="1"/>
  <c r="C16" i="35"/>
  <c r="AL16" i="35" s="1"/>
  <c r="AM15" i="35"/>
  <c r="AK15" i="35"/>
  <c r="S15" i="35"/>
  <c r="C15" i="35"/>
  <c r="AL15" i="35" s="1"/>
  <c r="AM14" i="35"/>
  <c r="S14" i="35"/>
  <c r="AK14" i="35" s="1"/>
  <c r="C14" i="35"/>
  <c r="AL14" i="35" s="1"/>
  <c r="AM13" i="35"/>
  <c r="AL13" i="35"/>
  <c r="AK13" i="35"/>
  <c r="S13" i="35"/>
  <c r="C13" i="35"/>
  <c r="AM12" i="35"/>
  <c r="AK12" i="35"/>
  <c r="S12" i="35"/>
  <c r="C12" i="35"/>
  <c r="AL12" i="35" s="1"/>
  <c r="AM11" i="35"/>
  <c r="AL11" i="35"/>
  <c r="AK11" i="35"/>
  <c r="S11" i="35"/>
  <c r="C11" i="35"/>
  <c r="AM10" i="35"/>
  <c r="AL10" i="35"/>
  <c r="S10" i="35"/>
  <c r="AK10" i="35" s="1"/>
  <c r="C10" i="35"/>
  <c r="AM9" i="35"/>
  <c r="S9" i="35"/>
  <c r="AK9" i="35" s="1"/>
  <c r="C9" i="35"/>
  <c r="AL9" i="35" s="1"/>
  <c r="S70" i="34" l="1"/>
  <c r="AK70" i="34" s="1"/>
  <c r="S69" i="34"/>
  <c r="S68" i="34"/>
  <c r="S67" i="34"/>
  <c r="AK67" i="34" s="1"/>
  <c r="S66" i="34"/>
  <c r="AK66" i="34" s="1"/>
  <c r="S65" i="34"/>
  <c r="S64" i="34"/>
  <c r="AK64" i="34" s="1"/>
  <c r="S63" i="34"/>
  <c r="AK63" i="34" s="1"/>
  <c r="S62" i="34"/>
  <c r="AK62" i="34" s="1"/>
  <c r="S61" i="34"/>
  <c r="S60" i="34"/>
  <c r="AK60" i="34" s="1"/>
  <c r="S59" i="34"/>
  <c r="AK59" i="34" s="1"/>
  <c r="S58" i="34"/>
  <c r="AK58" i="34" s="1"/>
  <c r="S57" i="34"/>
  <c r="AK57" i="34" s="1"/>
  <c r="S56" i="34"/>
  <c r="S55" i="34"/>
  <c r="AK55" i="34" s="1"/>
  <c r="S54" i="34"/>
  <c r="AK54" i="34" s="1"/>
  <c r="S53" i="34"/>
  <c r="AK53" i="34" s="1"/>
  <c r="S52" i="34"/>
  <c r="AK52" i="34" s="1"/>
  <c r="S51" i="34"/>
  <c r="AK51" i="34" s="1"/>
  <c r="AO50" i="34"/>
  <c r="AN50" i="34"/>
  <c r="S48" i="34"/>
  <c r="AK48" i="34" s="1"/>
  <c r="S47" i="34"/>
  <c r="AK47" i="34" s="1"/>
  <c r="S46" i="34"/>
  <c r="S45" i="34"/>
  <c r="S44" i="34"/>
  <c r="AK44" i="34" s="1"/>
  <c r="S43" i="34"/>
  <c r="AK43" i="34" s="1"/>
  <c r="S42" i="34"/>
  <c r="S41" i="34"/>
  <c r="S40" i="34"/>
  <c r="AK40" i="34" s="1"/>
  <c r="S39" i="34"/>
  <c r="AK39" i="34" s="1"/>
  <c r="S38" i="34"/>
  <c r="S37" i="34"/>
  <c r="S36" i="34"/>
  <c r="AK36" i="34" s="1"/>
  <c r="S35" i="34"/>
  <c r="AK35" i="34" s="1"/>
  <c r="S34" i="34"/>
  <c r="S33" i="34"/>
  <c r="S32" i="34"/>
  <c r="AK32" i="34" s="1"/>
  <c r="S31" i="34"/>
  <c r="AK31" i="34" s="1"/>
  <c r="S30" i="34"/>
  <c r="AO29" i="34"/>
  <c r="AN29" i="34"/>
  <c r="AK29" i="34"/>
  <c r="AM23" i="34"/>
  <c r="AL23" i="34"/>
  <c r="AK23" i="34"/>
  <c r="AM22" i="34"/>
  <c r="S22" i="34"/>
  <c r="C22" i="34"/>
  <c r="AL22" i="34" s="1"/>
  <c r="AM21" i="34"/>
  <c r="S21" i="34"/>
  <c r="C21" i="34"/>
  <c r="AL21" i="34" s="1"/>
  <c r="AM20" i="34"/>
  <c r="S20" i="34"/>
  <c r="AK20" i="34" s="1"/>
  <c r="C20" i="34"/>
  <c r="AL20" i="34" s="1"/>
  <c r="AM19" i="34"/>
  <c r="S19" i="34"/>
  <c r="AK19" i="34" s="1"/>
  <c r="C19" i="34"/>
  <c r="AL19" i="34" s="1"/>
  <c r="AM18" i="34"/>
  <c r="S18" i="34"/>
  <c r="AK18" i="34" s="1"/>
  <c r="C18" i="34"/>
  <c r="AL18" i="34" s="1"/>
  <c r="AM17" i="34"/>
  <c r="S17" i="34"/>
  <c r="C17" i="34"/>
  <c r="AL17" i="34" s="1"/>
  <c r="AM16" i="34"/>
  <c r="S16" i="34"/>
  <c r="C16" i="34"/>
  <c r="AL16" i="34" s="1"/>
  <c r="AM15" i="34"/>
  <c r="S15" i="34"/>
  <c r="AK15" i="34" s="1"/>
  <c r="C15" i="34"/>
  <c r="AL15" i="34" s="1"/>
  <c r="AM14" i="34"/>
  <c r="S14" i="34"/>
  <c r="AK14" i="34" s="1"/>
  <c r="C14" i="34"/>
  <c r="AL14" i="34" s="1"/>
  <c r="AM13" i="34"/>
  <c r="S13" i="34"/>
  <c r="C13" i="34"/>
  <c r="AL13" i="34" s="1"/>
  <c r="AM12" i="34"/>
  <c r="S12" i="34"/>
  <c r="AK12" i="34" s="1"/>
  <c r="C12" i="34"/>
  <c r="AL12" i="34" s="1"/>
  <c r="AM11" i="34"/>
  <c r="S11" i="34"/>
  <c r="C11" i="34"/>
  <c r="AL11" i="34" s="1"/>
  <c r="AM10" i="34"/>
  <c r="S10" i="34"/>
  <c r="AK10" i="34" s="1"/>
  <c r="C10" i="34"/>
  <c r="AL10" i="34" s="1"/>
  <c r="AM9" i="34"/>
  <c r="S9" i="34"/>
  <c r="AK9" i="34" s="1"/>
  <c r="C9" i="34"/>
  <c r="AL9" i="34" s="1"/>
  <c r="AN7" i="32"/>
  <c r="AM7" i="32"/>
  <c r="AC22" i="30"/>
  <c r="AC23" i="31"/>
  <c r="AC23" i="32"/>
  <c r="AC23" i="33"/>
  <c r="AK37" i="34" l="1"/>
  <c r="AK45" i="34"/>
  <c r="AK13" i="34"/>
  <c r="AK38" i="34"/>
  <c r="AK41" i="34"/>
  <c r="AK56" i="34"/>
  <c r="AK42" i="34"/>
  <c r="AK17" i="34"/>
  <c r="AK30" i="34"/>
  <c r="AK46" i="34"/>
  <c r="AK16" i="34"/>
  <c r="AK33" i="34"/>
  <c r="AK68" i="34"/>
  <c r="AK34" i="34"/>
  <c r="AK21" i="34"/>
  <c r="AK22" i="34"/>
  <c r="AK61" i="34"/>
  <c r="AK65" i="34"/>
  <c r="AK69" i="34"/>
  <c r="AK11" i="34"/>
  <c r="R2" i="33"/>
  <c r="A3" i="30"/>
  <c r="A4" i="31"/>
  <c r="A4" i="32"/>
  <c r="S47" i="23"/>
  <c r="S48" i="23"/>
  <c r="S49" i="23"/>
  <c r="S50" i="23"/>
  <c r="S51" i="23"/>
  <c r="S52" i="23"/>
  <c r="S53" i="23"/>
  <c r="S54" i="23"/>
  <c r="S55" i="23"/>
  <c r="S56" i="23"/>
  <c r="S57" i="23"/>
  <c r="S58" i="23"/>
  <c r="S59" i="23"/>
  <c r="S60" i="23"/>
  <c r="S61" i="23"/>
  <c r="S62" i="23"/>
  <c r="S63" i="23"/>
  <c r="S64" i="23"/>
  <c r="S65" i="23"/>
  <c r="S46" i="23"/>
  <c r="S26" i="23"/>
  <c r="S27" i="23"/>
  <c r="S28" i="23"/>
  <c r="S29" i="23"/>
  <c r="S30" i="23"/>
  <c r="S31" i="23"/>
  <c r="S32" i="23"/>
  <c r="S33" i="23"/>
  <c r="S34" i="23"/>
  <c r="S35" i="23"/>
  <c r="S36" i="23"/>
  <c r="S37" i="23"/>
  <c r="S38" i="23"/>
  <c r="S39" i="23"/>
  <c r="S40" i="23"/>
  <c r="S41" i="23"/>
  <c r="S42" i="23"/>
  <c r="S43" i="23"/>
  <c r="S25" i="23"/>
  <c r="AF49" i="30" l="1"/>
  <c r="AE49" i="30"/>
  <c r="AF28" i="30"/>
  <c r="AE28" i="30"/>
  <c r="AB28" i="30"/>
  <c r="AD22" i="30"/>
  <c r="AD21" i="30"/>
  <c r="AD20" i="30"/>
  <c r="AD19" i="30"/>
  <c r="AD18" i="30"/>
  <c r="AD17" i="30"/>
  <c r="AD16" i="30"/>
  <c r="AD15" i="30"/>
  <c r="AD14" i="30"/>
  <c r="AD13" i="30"/>
  <c r="AD12" i="30"/>
  <c r="AD11" i="30"/>
  <c r="AD10" i="30"/>
  <c r="AD9" i="30"/>
  <c r="AD8" i="30"/>
  <c r="AF50" i="31"/>
  <c r="AE50" i="31"/>
  <c r="AF29" i="31"/>
  <c r="AE29" i="31"/>
  <c r="AB29" i="31"/>
  <c r="AD23" i="31"/>
  <c r="AD22" i="31"/>
  <c r="AD21" i="31"/>
  <c r="AD20" i="31"/>
  <c r="AD19" i="31"/>
  <c r="AD18" i="31"/>
  <c r="AD17" i="31"/>
  <c r="AD16" i="31"/>
  <c r="AD15" i="31"/>
  <c r="AD14" i="31"/>
  <c r="AD13" i="31"/>
  <c r="AD12" i="31"/>
  <c r="AD11" i="31"/>
  <c r="AD10" i="31"/>
  <c r="AD9" i="31"/>
  <c r="AF50" i="32"/>
  <c r="AE50" i="32"/>
  <c r="AF29" i="32"/>
  <c r="AE29" i="32"/>
  <c r="AB29" i="32"/>
  <c r="AD23" i="32"/>
  <c r="AD22" i="32"/>
  <c r="AD21" i="32"/>
  <c r="AD20" i="32"/>
  <c r="AD19" i="32"/>
  <c r="AD18" i="32"/>
  <c r="AD17" i="32"/>
  <c r="AD16" i="32"/>
  <c r="AD15" i="32"/>
  <c r="AD14" i="32"/>
  <c r="AD13" i="32"/>
  <c r="AD12" i="32"/>
  <c r="AD11" i="32"/>
  <c r="AD10" i="32"/>
  <c r="AD9" i="32"/>
  <c r="AF50" i="33"/>
  <c r="AE50" i="33"/>
  <c r="AF29" i="33"/>
  <c r="AE29" i="33"/>
  <c r="AB29" i="33"/>
  <c r="AD23" i="33"/>
  <c r="AD22" i="33"/>
  <c r="AD21" i="33"/>
  <c r="AD13" i="33"/>
  <c r="AD14" i="33"/>
  <c r="AD15" i="33"/>
  <c r="AD16" i="33"/>
  <c r="AD17" i="33"/>
  <c r="AD18" i="33"/>
  <c r="AD19" i="33"/>
  <c r="AD20" i="33"/>
  <c r="AD11" i="33"/>
  <c r="AD12" i="33"/>
  <c r="AD10" i="33"/>
  <c r="AD9" i="33"/>
  <c r="S70" i="33"/>
  <c r="S69" i="33"/>
  <c r="S68" i="33"/>
  <c r="S67" i="33"/>
  <c r="S66" i="33"/>
  <c r="S65" i="33"/>
  <c r="S64" i="33"/>
  <c r="S63" i="33"/>
  <c r="S62" i="33"/>
  <c r="S61" i="33"/>
  <c r="S60" i="33"/>
  <c r="S59" i="33"/>
  <c r="S58" i="33"/>
  <c r="S57" i="33"/>
  <c r="S56" i="33"/>
  <c r="S55" i="33"/>
  <c r="S54" i="33"/>
  <c r="S53" i="33"/>
  <c r="S52" i="33"/>
  <c r="S51" i="33"/>
  <c r="S48" i="33"/>
  <c r="S47" i="33"/>
  <c r="S46" i="33"/>
  <c r="S45" i="33"/>
  <c r="S44" i="33"/>
  <c r="S43" i="33"/>
  <c r="S42" i="33"/>
  <c r="S41" i="33"/>
  <c r="S40" i="33"/>
  <c r="S39" i="33"/>
  <c r="S38" i="33"/>
  <c r="S37" i="33"/>
  <c r="S36" i="33"/>
  <c r="S35" i="33"/>
  <c r="S34" i="33"/>
  <c r="S33" i="33"/>
  <c r="S32" i="33"/>
  <c r="S31" i="33"/>
  <c r="S30" i="33"/>
  <c r="AB23" i="33"/>
  <c r="S22" i="33"/>
  <c r="AB22" i="33" s="1"/>
  <c r="C22" i="33"/>
  <c r="AC22" i="33" s="1"/>
  <c r="S21" i="33"/>
  <c r="AB21" i="33" s="1"/>
  <c r="C21" i="33"/>
  <c r="AC21" i="33" s="1"/>
  <c r="S20" i="33"/>
  <c r="AB20" i="33" s="1"/>
  <c r="C20" i="33"/>
  <c r="AC20" i="33" s="1"/>
  <c r="S19" i="33"/>
  <c r="AB19" i="33" s="1"/>
  <c r="C19" i="33"/>
  <c r="AC19" i="33" s="1"/>
  <c r="S18" i="33"/>
  <c r="AB18" i="33" s="1"/>
  <c r="C18" i="33"/>
  <c r="AC18" i="33" s="1"/>
  <c r="S17" i="33"/>
  <c r="AB17" i="33" s="1"/>
  <c r="C17" i="33"/>
  <c r="AC17" i="33" s="1"/>
  <c r="S16" i="33"/>
  <c r="AB16" i="33" s="1"/>
  <c r="C16" i="33"/>
  <c r="AC16" i="33" s="1"/>
  <c r="S15" i="33"/>
  <c r="AB15" i="33" s="1"/>
  <c r="C15" i="33"/>
  <c r="AC15" i="33" s="1"/>
  <c r="S14" i="33"/>
  <c r="AB14" i="33" s="1"/>
  <c r="C14" i="33"/>
  <c r="AC14" i="33" s="1"/>
  <c r="S13" i="33"/>
  <c r="AB13" i="33" s="1"/>
  <c r="C13" i="33"/>
  <c r="AC13" i="33" s="1"/>
  <c r="S12" i="33"/>
  <c r="AB12" i="33" s="1"/>
  <c r="C12" i="33"/>
  <c r="AC12" i="33" s="1"/>
  <c r="S11" i="33"/>
  <c r="AB11" i="33" s="1"/>
  <c r="C11" i="33"/>
  <c r="AC11" i="33" s="1"/>
  <c r="S10" i="33"/>
  <c r="AB10" i="33" s="1"/>
  <c r="C10" i="33"/>
  <c r="AC10" i="33" s="1"/>
  <c r="S9" i="33"/>
  <c r="AB9" i="33" s="1"/>
  <c r="C9" i="33"/>
  <c r="AC9" i="33" s="1"/>
  <c r="S70" i="32"/>
  <c r="S69" i="32"/>
  <c r="S68" i="32"/>
  <c r="S67" i="32"/>
  <c r="S66" i="32"/>
  <c r="S65" i="32"/>
  <c r="S64" i="32"/>
  <c r="S63" i="32"/>
  <c r="S62" i="32"/>
  <c r="S61" i="32"/>
  <c r="S60" i="32"/>
  <c r="S59" i="32"/>
  <c r="S58" i="32"/>
  <c r="S57" i="32"/>
  <c r="S56" i="32"/>
  <c r="S55" i="32"/>
  <c r="S54" i="32"/>
  <c r="S53" i="32"/>
  <c r="S52" i="32"/>
  <c r="S51" i="32"/>
  <c r="S48" i="32"/>
  <c r="S47" i="32"/>
  <c r="S46" i="32"/>
  <c r="S45" i="32"/>
  <c r="S44" i="32"/>
  <c r="S43" i="32"/>
  <c r="S42" i="32"/>
  <c r="S41" i="32"/>
  <c r="S40" i="32"/>
  <c r="S39" i="32"/>
  <c r="S38" i="32"/>
  <c r="S37" i="32"/>
  <c r="S36" i="32"/>
  <c r="S35" i="32"/>
  <c r="S34" i="32"/>
  <c r="S33" i="32"/>
  <c r="S32" i="32"/>
  <c r="S31" i="32"/>
  <c r="S30" i="32"/>
  <c r="AB23" i="32"/>
  <c r="S22" i="32"/>
  <c r="AB22" i="32" s="1"/>
  <c r="C22" i="32"/>
  <c r="AC22" i="32" s="1"/>
  <c r="S21" i="32"/>
  <c r="AB21" i="32" s="1"/>
  <c r="C21" i="32"/>
  <c r="AC21" i="32" s="1"/>
  <c r="S20" i="32"/>
  <c r="AB20" i="32" s="1"/>
  <c r="C20" i="32"/>
  <c r="AC20" i="32" s="1"/>
  <c r="S19" i="32"/>
  <c r="AB19" i="32" s="1"/>
  <c r="C19" i="32"/>
  <c r="AC19" i="32" s="1"/>
  <c r="S18" i="32"/>
  <c r="AB18" i="32" s="1"/>
  <c r="C18" i="32"/>
  <c r="AC18" i="32" s="1"/>
  <c r="S17" i="32"/>
  <c r="AB17" i="32" s="1"/>
  <c r="C17" i="32"/>
  <c r="AC17" i="32" s="1"/>
  <c r="S16" i="32"/>
  <c r="AB16" i="32" s="1"/>
  <c r="C16" i="32"/>
  <c r="AC16" i="32" s="1"/>
  <c r="S15" i="32"/>
  <c r="AB15" i="32" s="1"/>
  <c r="C15" i="32"/>
  <c r="AC15" i="32" s="1"/>
  <c r="S14" i="32"/>
  <c r="AB14" i="32" s="1"/>
  <c r="C14" i="32"/>
  <c r="AC14" i="32" s="1"/>
  <c r="S13" i="32"/>
  <c r="AB13" i="32" s="1"/>
  <c r="C13" i="32"/>
  <c r="AC13" i="32" s="1"/>
  <c r="S12" i="32"/>
  <c r="AB12" i="32" s="1"/>
  <c r="C12" i="32"/>
  <c r="AC12" i="32" s="1"/>
  <c r="S11" i="32"/>
  <c r="AB11" i="32" s="1"/>
  <c r="C11" i="32"/>
  <c r="AC11" i="32" s="1"/>
  <c r="S10" i="32"/>
  <c r="AB10" i="32" s="1"/>
  <c r="C10" i="32"/>
  <c r="AC10" i="32" s="1"/>
  <c r="S9" i="32"/>
  <c r="AB9" i="32" s="1"/>
  <c r="C9" i="32"/>
  <c r="AC9" i="32" s="1"/>
  <c r="S70" i="31"/>
  <c r="S69" i="31"/>
  <c r="S68" i="31"/>
  <c r="S67" i="31"/>
  <c r="S66" i="31"/>
  <c r="S65" i="31"/>
  <c r="S64" i="31"/>
  <c r="S63" i="31"/>
  <c r="S62" i="31"/>
  <c r="S61" i="31"/>
  <c r="S60" i="31"/>
  <c r="S59" i="31"/>
  <c r="S58" i="31"/>
  <c r="S57" i="31"/>
  <c r="S56" i="31"/>
  <c r="S55" i="31"/>
  <c r="S54" i="31"/>
  <c r="S53" i="31"/>
  <c r="S52" i="31"/>
  <c r="S51" i="31"/>
  <c r="S48" i="31"/>
  <c r="S47" i="31"/>
  <c r="S46" i="31"/>
  <c r="S45" i="31"/>
  <c r="S44" i="31"/>
  <c r="S43" i="31"/>
  <c r="S42" i="31"/>
  <c r="S41" i="31"/>
  <c r="S40" i="31"/>
  <c r="S39" i="31"/>
  <c r="S38" i="31"/>
  <c r="S37" i="31"/>
  <c r="S36" i="31"/>
  <c r="S35" i="31"/>
  <c r="S34" i="31"/>
  <c r="S33" i="31"/>
  <c r="S32" i="31"/>
  <c r="S31" i="31"/>
  <c r="S30" i="31"/>
  <c r="AB23" i="31"/>
  <c r="S22" i="31"/>
  <c r="AB22" i="31" s="1"/>
  <c r="C22" i="31"/>
  <c r="AC22" i="31" s="1"/>
  <c r="S21" i="31"/>
  <c r="AB21" i="31" s="1"/>
  <c r="C21" i="31"/>
  <c r="AC21" i="31" s="1"/>
  <c r="S20" i="31"/>
  <c r="AB20" i="31" s="1"/>
  <c r="C20" i="31"/>
  <c r="AC20" i="31" s="1"/>
  <c r="S19" i="31"/>
  <c r="AB19" i="31" s="1"/>
  <c r="C19" i="31"/>
  <c r="AC19" i="31" s="1"/>
  <c r="S18" i="31"/>
  <c r="AB18" i="31" s="1"/>
  <c r="C18" i="31"/>
  <c r="AC18" i="31" s="1"/>
  <c r="S17" i="31"/>
  <c r="AB17" i="31" s="1"/>
  <c r="C17" i="31"/>
  <c r="AC17" i="31" s="1"/>
  <c r="S16" i="31"/>
  <c r="AB16" i="31" s="1"/>
  <c r="C16" i="31"/>
  <c r="AC16" i="31" s="1"/>
  <c r="S15" i="31"/>
  <c r="AB15" i="31" s="1"/>
  <c r="C15" i="31"/>
  <c r="AC15" i="31" s="1"/>
  <c r="S14" i="31"/>
  <c r="AB14" i="31" s="1"/>
  <c r="C14" i="31"/>
  <c r="AC14" i="31" s="1"/>
  <c r="S13" i="31"/>
  <c r="AB13" i="31" s="1"/>
  <c r="C13" i="31"/>
  <c r="AC13" i="31" s="1"/>
  <c r="S12" i="31"/>
  <c r="AB12" i="31" s="1"/>
  <c r="C12" i="31"/>
  <c r="AC12" i="31" s="1"/>
  <c r="S11" i="31"/>
  <c r="AB11" i="31" s="1"/>
  <c r="C11" i="31"/>
  <c r="AC11" i="31" s="1"/>
  <c r="S10" i="31"/>
  <c r="AB10" i="31" s="1"/>
  <c r="C10" i="31"/>
  <c r="AC10" i="31" s="1"/>
  <c r="S9" i="31"/>
  <c r="AB9" i="31" s="1"/>
  <c r="C9" i="31"/>
  <c r="AC9" i="31" s="1"/>
  <c r="S51" i="30"/>
  <c r="S52" i="30"/>
  <c r="S53" i="30"/>
  <c r="S54" i="30"/>
  <c r="S55" i="30"/>
  <c r="S56" i="30"/>
  <c r="S57" i="30"/>
  <c r="S58" i="30"/>
  <c r="S59" i="30"/>
  <c r="S60" i="30"/>
  <c r="S61" i="30"/>
  <c r="S62" i="30"/>
  <c r="S63" i="30"/>
  <c r="S64" i="30"/>
  <c r="S65" i="30"/>
  <c r="S66" i="30"/>
  <c r="S67" i="30"/>
  <c r="S68" i="30"/>
  <c r="S69" i="30"/>
  <c r="S50" i="30"/>
  <c r="S30" i="30"/>
  <c r="S31" i="30"/>
  <c r="S32" i="30"/>
  <c r="S33" i="30"/>
  <c r="S34" i="30"/>
  <c r="S35" i="30"/>
  <c r="S36" i="30"/>
  <c r="S37" i="30"/>
  <c r="S38" i="30"/>
  <c r="S39" i="30"/>
  <c r="S40" i="30"/>
  <c r="S41" i="30"/>
  <c r="S42" i="30"/>
  <c r="S43" i="30"/>
  <c r="S44" i="30"/>
  <c r="S45" i="30"/>
  <c r="S46" i="30"/>
  <c r="S47" i="30"/>
  <c r="S29" i="30"/>
  <c r="R47" i="23"/>
  <c r="R48" i="23"/>
  <c r="R49" i="23"/>
  <c r="R50" i="23"/>
  <c r="R51" i="23"/>
  <c r="R52" i="23"/>
  <c r="R53" i="23"/>
  <c r="R54" i="23"/>
  <c r="R55" i="23"/>
  <c r="R56" i="23"/>
  <c r="R57" i="23"/>
  <c r="R58" i="23"/>
  <c r="R59" i="23"/>
  <c r="R60" i="23"/>
  <c r="R61" i="23"/>
  <c r="R62" i="23"/>
  <c r="R63" i="23"/>
  <c r="R64" i="23"/>
  <c r="R65" i="23"/>
  <c r="R46" i="23"/>
  <c r="R26" i="23"/>
  <c r="R27" i="23"/>
  <c r="R28" i="23"/>
  <c r="R29" i="23"/>
  <c r="R30" i="23"/>
  <c r="R31" i="23"/>
  <c r="R32" i="23"/>
  <c r="R33" i="23"/>
  <c r="R34" i="23"/>
  <c r="R35" i="23"/>
  <c r="R36" i="23"/>
  <c r="R37" i="23"/>
  <c r="R38" i="23"/>
  <c r="R39" i="23"/>
  <c r="R40" i="23"/>
  <c r="R41" i="23"/>
  <c r="R42" i="23"/>
  <c r="R43" i="23"/>
  <c r="R25" i="23"/>
  <c r="R5" i="23"/>
  <c r="R6" i="23"/>
  <c r="R7" i="23"/>
  <c r="R8" i="23"/>
  <c r="R9" i="23"/>
  <c r="R10" i="23"/>
  <c r="R11" i="23"/>
  <c r="R12" i="23"/>
  <c r="R13" i="23"/>
  <c r="R14" i="23"/>
  <c r="R15" i="23"/>
  <c r="R16" i="23"/>
  <c r="R17" i="23"/>
  <c r="R18" i="23"/>
  <c r="R4" i="23"/>
  <c r="S9" i="30"/>
  <c r="AB9" i="30" s="1"/>
  <c r="S10" i="30"/>
  <c r="AB10" i="30" s="1"/>
  <c r="S11" i="30"/>
  <c r="AB11" i="30" s="1"/>
  <c r="S12" i="30"/>
  <c r="AB12" i="30" s="1"/>
  <c r="S13" i="30"/>
  <c r="AB13" i="30" s="1"/>
  <c r="S14" i="30"/>
  <c r="AB14" i="30" s="1"/>
  <c r="S15" i="30"/>
  <c r="AB15" i="30" s="1"/>
  <c r="S16" i="30"/>
  <c r="AB16" i="30" s="1"/>
  <c r="S17" i="30"/>
  <c r="AB17" i="30" s="1"/>
  <c r="S18" i="30"/>
  <c r="AB18" i="30" s="1"/>
  <c r="S19" i="30"/>
  <c r="AB19" i="30" s="1"/>
  <c r="S20" i="30"/>
  <c r="AB20" i="30" s="1"/>
  <c r="S21" i="30"/>
  <c r="AB21" i="30" s="1"/>
  <c r="AB22" i="30"/>
  <c r="S8" i="30"/>
  <c r="AB8" i="30" s="1"/>
  <c r="C21" i="30"/>
  <c r="AC21" i="30" s="1"/>
  <c r="C20" i="30"/>
  <c r="AC20" i="30" s="1"/>
  <c r="C19" i="30"/>
  <c r="AC19" i="30" s="1"/>
  <c r="C18" i="30"/>
  <c r="AC18" i="30" s="1"/>
  <c r="C17" i="30"/>
  <c r="AC17" i="30" s="1"/>
  <c r="C16" i="30"/>
  <c r="AC16" i="30" s="1"/>
  <c r="C15" i="30"/>
  <c r="AC15" i="30" s="1"/>
  <c r="C14" i="30"/>
  <c r="AC14" i="30" s="1"/>
  <c r="C13" i="30"/>
  <c r="AC13" i="30" s="1"/>
  <c r="C12" i="30"/>
  <c r="AC12" i="30" s="1"/>
  <c r="C11" i="30"/>
  <c r="AC11" i="30" s="1"/>
  <c r="C10" i="30"/>
  <c r="AC10" i="30" s="1"/>
  <c r="C9" i="30"/>
  <c r="AC9" i="30" s="1"/>
  <c r="C8" i="30"/>
  <c r="AC8" i="30" s="1"/>
  <c r="G17" i="23"/>
  <c r="T17" i="23" s="1"/>
  <c r="H17" i="23"/>
  <c r="U17" i="23" s="1"/>
  <c r="I17" i="23"/>
  <c r="V17" i="23" s="1"/>
  <c r="J17" i="23"/>
  <c r="W17" i="23" s="1"/>
  <c r="K17" i="23"/>
  <c r="X17" i="23" s="1"/>
  <c r="K16" i="23"/>
  <c r="X16" i="23" s="1"/>
  <c r="J16" i="23"/>
  <c r="W16" i="23" s="1"/>
  <c r="I16" i="23"/>
  <c r="V16" i="23" s="1"/>
  <c r="H16" i="23"/>
  <c r="U16" i="23" s="1"/>
  <c r="G16" i="23"/>
  <c r="T16" i="23" s="1"/>
  <c r="G8" i="23"/>
  <c r="T8" i="23" s="1"/>
  <c r="H8" i="23"/>
  <c r="U8" i="23" s="1"/>
  <c r="I8" i="23"/>
  <c r="V8" i="23" s="1"/>
  <c r="G9" i="23"/>
  <c r="T9" i="23" s="1"/>
  <c r="H9" i="23"/>
  <c r="U9" i="23" s="1"/>
  <c r="I9" i="23"/>
  <c r="V9" i="23" s="1"/>
  <c r="G10" i="23"/>
  <c r="T10" i="23" s="1"/>
  <c r="H10" i="23"/>
  <c r="U10" i="23" s="1"/>
  <c r="I10" i="23"/>
  <c r="V10" i="23" s="1"/>
  <c r="G11" i="23"/>
  <c r="T11" i="23" s="1"/>
  <c r="H11" i="23"/>
  <c r="U11" i="23" s="1"/>
  <c r="I11" i="23"/>
  <c r="V11" i="23" s="1"/>
  <c r="G12" i="23"/>
  <c r="T12" i="23" s="1"/>
  <c r="H12" i="23"/>
  <c r="U12" i="23" s="1"/>
  <c r="I12" i="23"/>
  <c r="V12" i="23" s="1"/>
  <c r="G13" i="23"/>
  <c r="T13" i="23" s="1"/>
  <c r="H13" i="23"/>
  <c r="U13" i="23" s="1"/>
  <c r="I13" i="23"/>
  <c r="V13" i="23" s="1"/>
  <c r="G14" i="23"/>
  <c r="T14" i="23" s="1"/>
  <c r="H14" i="23"/>
  <c r="U14" i="23" s="1"/>
  <c r="I14" i="23"/>
  <c r="V14" i="23" s="1"/>
  <c r="G15" i="23"/>
  <c r="T15" i="23" s="1"/>
  <c r="H15" i="23"/>
  <c r="U15" i="23" s="1"/>
  <c r="I15" i="23"/>
  <c r="V15" i="23" s="1"/>
  <c r="L18" i="23"/>
  <c r="Y18" i="23" s="1"/>
  <c r="K18" i="23"/>
  <c r="X18" i="23" s="1"/>
  <c r="J18" i="23"/>
  <c r="W18" i="23" s="1"/>
  <c r="I18" i="23"/>
  <c r="V18" i="23" s="1"/>
  <c r="H18" i="23"/>
  <c r="U18" i="23" s="1"/>
  <c r="G18" i="23"/>
  <c r="T18" i="23" s="1"/>
  <c r="G6" i="23"/>
  <c r="T6" i="23" s="1"/>
  <c r="H6" i="23"/>
  <c r="U6" i="23" s="1"/>
  <c r="I6" i="23"/>
  <c r="V6" i="23" s="1"/>
  <c r="J6" i="23"/>
  <c r="W6" i="23" s="1"/>
  <c r="K6" i="23"/>
  <c r="X6" i="23" s="1"/>
  <c r="L6" i="23"/>
  <c r="Y6" i="23" s="1"/>
  <c r="G7" i="23"/>
  <c r="T7" i="23" s="1"/>
  <c r="H7" i="23"/>
  <c r="U7" i="23" s="1"/>
  <c r="I7" i="23"/>
  <c r="V7" i="23" s="1"/>
  <c r="J7" i="23"/>
  <c r="W7" i="23" s="1"/>
  <c r="K7" i="23"/>
  <c r="X7" i="23" s="1"/>
  <c r="L7" i="23"/>
  <c r="Y7" i="23" s="1"/>
  <c r="L5" i="23"/>
  <c r="Y5" i="23" s="1"/>
  <c r="K5" i="23"/>
  <c r="X5" i="23" s="1"/>
  <c r="J5" i="23"/>
  <c r="W5" i="23" s="1"/>
  <c r="I5" i="23"/>
  <c r="V5" i="23" s="1"/>
  <c r="H5" i="23"/>
  <c r="U5" i="23" s="1"/>
  <c r="G5" i="23"/>
  <c r="T5" i="23" s="1"/>
  <c r="G4" i="23"/>
  <c r="T4" i="23" s="1"/>
  <c r="C5" i="23"/>
  <c r="C6" i="23"/>
  <c r="C7" i="23"/>
  <c r="C8" i="23"/>
  <c r="C9" i="23"/>
  <c r="C10" i="23"/>
  <c r="C11" i="23"/>
  <c r="C12" i="23"/>
  <c r="C13" i="23"/>
  <c r="C14" i="23"/>
  <c r="C15" i="23"/>
  <c r="C16" i="23"/>
  <c r="C17" i="23"/>
  <c r="C18" i="23"/>
  <c r="C4" i="23"/>
  <c r="X18" i="22"/>
  <c r="S18" i="22"/>
  <c r="T18" i="22"/>
  <c r="U18" i="22"/>
  <c r="V18" i="22"/>
  <c r="W18" i="22"/>
  <c r="X11" i="30" a="1"/>
  <c r="U13" i="30" a="1"/>
  <c r="U17" i="30" a="1"/>
  <c r="U20" i="30" a="1"/>
  <c r="V11" i="30" a="1"/>
  <c r="T64" i="30" a="1"/>
  <c r="U16" i="30" a="1"/>
  <c r="T43" i="30" a="1"/>
  <c r="T47" i="30" a="1"/>
  <c r="U8" i="30" a="1"/>
  <c r="Y20" i="30" a="1"/>
  <c r="W15" i="30" a="1"/>
  <c r="W22" i="30" a="1"/>
  <c r="T65" i="30" a="1"/>
  <c r="X22" i="30" a="1"/>
  <c r="T55" i="30" a="1"/>
  <c r="Z10" i="30" a="1"/>
  <c r="T51" i="30" a="1"/>
  <c r="W9" i="30" a="1"/>
  <c r="V9" i="30" a="1"/>
  <c r="U12" i="30" a="1"/>
  <c r="T40" i="30" a="1"/>
  <c r="T37" i="30" a="1"/>
  <c r="V22" i="30" a="1"/>
  <c r="T32" i="30" a="1"/>
  <c r="V20" i="30" a="1"/>
  <c r="V13" i="30" a="1"/>
  <c r="W20" i="30" a="1"/>
  <c r="X21" i="30" a="1"/>
  <c r="T54" i="30" a="1"/>
  <c r="T63" i="30" a="1"/>
  <c r="T58" i="30" a="1"/>
  <c r="U14" i="30" a="1"/>
  <c r="T57" i="30" a="1"/>
  <c r="Z9" i="30" a="1"/>
  <c r="T41" i="30" a="1"/>
  <c r="T35" i="30" a="1"/>
  <c r="T42" i="30" a="1"/>
  <c r="T61" i="30" a="1"/>
  <c r="T29" i="30" a="1"/>
  <c r="V18" i="30" a="1"/>
  <c r="T46" i="30" a="1"/>
  <c r="V19" i="30" a="1"/>
  <c r="T67" i="30" a="1"/>
  <c r="T62" i="30" a="1"/>
  <c r="U18" i="30" a="1"/>
  <c r="T56" i="30" a="1"/>
  <c r="U22" i="30" a="1"/>
  <c r="T38" i="30" a="1"/>
  <c r="V17" i="30" a="1"/>
  <c r="W17" i="30" a="1"/>
  <c r="Y11" i="30" a="1"/>
  <c r="T45" i="30" a="1"/>
  <c r="Z22" i="30" a="1"/>
  <c r="Y10" i="30" a="1"/>
  <c r="W14" i="30" a="1"/>
  <c r="T31" i="30" a="1"/>
  <c r="W19" i="30" a="1"/>
  <c r="T30" i="30" a="1"/>
  <c r="V16" i="30" a="1"/>
  <c r="U10" i="30" a="1"/>
  <c r="V14" i="30" a="1"/>
  <c r="T36" i="30" a="1"/>
  <c r="V15" i="30" a="1"/>
  <c r="V10" i="30" a="1"/>
  <c r="W11" i="30" a="1"/>
  <c r="Y9" i="30" a="1"/>
  <c r="T39" i="30" a="1"/>
  <c r="T69" i="30" a="1"/>
  <c r="V21" i="30" a="1"/>
  <c r="Z11" i="30" a="1"/>
  <c r="W18" i="30" a="1"/>
  <c r="T50" i="30" a="1"/>
  <c r="X10" i="30" a="1"/>
  <c r="V12" i="30" a="1"/>
  <c r="U15" i="30" a="1"/>
  <c r="W21" i="30" a="1"/>
  <c r="T59" i="30" a="1"/>
  <c r="U9" i="30" a="1"/>
  <c r="U11" i="30" a="1"/>
  <c r="T52" i="30" a="1"/>
  <c r="U19" i="30" a="1"/>
  <c r="X9" i="30" a="1"/>
  <c r="W12" i="30" a="1"/>
  <c r="X20" i="30" a="1"/>
  <c r="T66" i="30" a="1"/>
  <c r="T44" i="30" a="1"/>
  <c r="U21" i="30" a="1"/>
  <c r="Y22" i="30" a="1"/>
  <c r="T53" i="30" a="1"/>
  <c r="T34" i="30" a="1"/>
  <c r="T33" i="30" a="1"/>
  <c r="Y21" i="30" a="1"/>
  <c r="T60" i="30" a="1"/>
  <c r="W10" i="30" a="1"/>
  <c r="T68" i="30" a="1"/>
  <c r="W16" i="30" a="1"/>
  <c r="W13" i="30" a="1"/>
  <c r="AL22" i="32" l="1"/>
  <c r="AM22" i="32"/>
  <c r="AN22" i="32"/>
  <c r="AM9" i="32"/>
  <c r="AN9" i="32"/>
  <c r="AL9" i="32"/>
  <c r="AN19" i="32"/>
  <c r="AM19" i="32"/>
  <c r="AL19" i="32"/>
  <c r="AL17" i="32"/>
  <c r="AM17" i="32"/>
  <c r="AN17" i="32"/>
  <c r="AM14" i="32"/>
  <c r="AL14" i="32"/>
  <c r="AN14" i="32"/>
  <c r="AN21" i="32"/>
  <c r="AM21" i="32"/>
  <c r="AL21" i="32"/>
  <c r="AN13" i="32"/>
  <c r="AM13" i="32"/>
  <c r="AL13" i="32"/>
  <c r="AN15" i="32"/>
  <c r="AL15" i="32"/>
  <c r="AM15" i="32"/>
  <c r="AL12" i="32"/>
  <c r="AN12" i="32"/>
  <c r="AM12" i="32"/>
  <c r="AL20" i="32"/>
  <c r="AM20" i="32"/>
  <c r="AN20" i="32"/>
  <c r="AL16" i="32"/>
  <c r="AN16" i="32"/>
  <c r="AM16" i="32"/>
  <c r="AN18" i="32"/>
  <c r="AM18" i="32"/>
  <c r="AL18" i="32"/>
  <c r="T60" i="30"/>
  <c r="T47" i="30"/>
  <c r="T35" i="30"/>
  <c r="T64" i="30"/>
  <c r="T52" i="30"/>
  <c r="T34" i="30"/>
  <c r="T62" i="30"/>
  <c r="T43" i="30"/>
  <c r="T30" i="30"/>
  <c r="T59" i="30"/>
  <c r="T42" i="30"/>
  <c r="T41" i="30"/>
  <c r="T50" i="30"/>
  <c r="T58" i="30"/>
  <c r="T61" i="30"/>
  <c r="T31" i="30"/>
  <c r="T40" i="30"/>
  <c r="T69" i="30"/>
  <c r="T57" i="30"/>
  <c r="T39" i="30"/>
  <c r="T68" i="30"/>
  <c r="T56" i="30"/>
  <c r="T51" i="30"/>
  <c r="T33" i="30"/>
  <c r="T32" i="30"/>
  <c r="T38" i="30"/>
  <c r="T67" i="30"/>
  <c r="T55" i="30"/>
  <c r="T63" i="30"/>
  <c r="T45" i="30"/>
  <c r="T37" i="30"/>
  <c r="T66" i="30"/>
  <c r="T54" i="30"/>
  <c r="T46" i="30"/>
  <c r="T44" i="30"/>
  <c r="T29" i="30"/>
  <c r="T36" i="30"/>
  <c r="T65" i="30"/>
  <c r="T53" i="30"/>
  <c r="AB35" i="31"/>
  <c r="AB38" i="32"/>
  <c r="AB56" i="33"/>
  <c r="AB37" i="31"/>
  <c r="AB66" i="32"/>
  <c r="AB60" i="30"/>
  <c r="AB47" i="30"/>
  <c r="AB35" i="30"/>
  <c r="AB64" i="30"/>
  <c r="AB52" i="30"/>
  <c r="AB34" i="31"/>
  <c r="AB46" i="31"/>
  <c r="AB60" i="31"/>
  <c r="AB37" i="32"/>
  <c r="AB51" i="32"/>
  <c r="AB63" i="32"/>
  <c r="AB40" i="33"/>
  <c r="AB54" i="33"/>
  <c r="AB66" i="33"/>
  <c r="AB34" i="30"/>
  <c r="AB64" i="32"/>
  <c r="AB62" i="30"/>
  <c r="AB53" i="32"/>
  <c r="AB57" i="33"/>
  <c r="AB43" i="30"/>
  <c r="AB58" i="33"/>
  <c r="AB30" i="30"/>
  <c r="AB59" i="30"/>
  <c r="AB39" i="31"/>
  <c r="AB53" i="31"/>
  <c r="AB65" i="31"/>
  <c r="AB30" i="32"/>
  <c r="AB42" i="32"/>
  <c r="AB56" i="32"/>
  <c r="AB68" i="32"/>
  <c r="AB33" i="33"/>
  <c r="AB45" i="33"/>
  <c r="AB59" i="33"/>
  <c r="AB64" i="31"/>
  <c r="AB55" i="32"/>
  <c r="AB44" i="33"/>
  <c r="AB42" i="30"/>
  <c r="AB41" i="30"/>
  <c r="AB50" i="30"/>
  <c r="AB58" i="30"/>
  <c r="AB40" i="31"/>
  <c r="AB54" i="31"/>
  <c r="AB66" i="31"/>
  <c r="AB31" i="32"/>
  <c r="AB43" i="32"/>
  <c r="AB57" i="32"/>
  <c r="AB69" i="32"/>
  <c r="AB34" i="33"/>
  <c r="AB46" i="33"/>
  <c r="AB60" i="33"/>
  <c r="AB62" i="31"/>
  <c r="AB30" i="33"/>
  <c r="AB61" i="30"/>
  <c r="AB51" i="31"/>
  <c r="AB54" i="32"/>
  <c r="AB31" i="33"/>
  <c r="AB31" i="30"/>
  <c r="AB38" i="31"/>
  <c r="AB41" i="32"/>
  <c r="AB32" i="33"/>
  <c r="AB40" i="30"/>
  <c r="AB69" i="30"/>
  <c r="AB57" i="30"/>
  <c r="AB41" i="31"/>
  <c r="AB55" i="31"/>
  <c r="AB67" i="31"/>
  <c r="AB32" i="32"/>
  <c r="AB44" i="32"/>
  <c r="AB58" i="32"/>
  <c r="AB70" i="32"/>
  <c r="AB35" i="33"/>
  <c r="AB47" i="33"/>
  <c r="AB61" i="33"/>
  <c r="AB47" i="31"/>
  <c r="AB67" i="33"/>
  <c r="AB68" i="33"/>
  <c r="AB40" i="32"/>
  <c r="AB69" i="33"/>
  <c r="AB52" i="31"/>
  <c r="AB39" i="30"/>
  <c r="AB68" i="30"/>
  <c r="AB56" i="30"/>
  <c r="AB30" i="31"/>
  <c r="AB42" i="31"/>
  <c r="AB56" i="31"/>
  <c r="AB68" i="31"/>
  <c r="AB33" i="32"/>
  <c r="AB45" i="32"/>
  <c r="AB59" i="32"/>
  <c r="AB36" i="33"/>
  <c r="AB48" i="33"/>
  <c r="AB62" i="33"/>
  <c r="AB51" i="30"/>
  <c r="AB33" i="30"/>
  <c r="AB36" i="31"/>
  <c r="AB39" i="32"/>
  <c r="AB42" i="33"/>
  <c r="AB32" i="30"/>
  <c r="AB43" i="33"/>
  <c r="AB38" i="30"/>
  <c r="AB67" i="30"/>
  <c r="AB55" i="30"/>
  <c r="AB31" i="31"/>
  <c r="AB43" i="31"/>
  <c r="AB57" i="31"/>
  <c r="AB69" i="31"/>
  <c r="AB34" i="32"/>
  <c r="AB46" i="32"/>
  <c r="AB60" i="32"/>
  <c r="AB37" i="33"/>
  <c r="AB51" i="33"/>
  <c r="AB63" i="33"/>
  <c r="AB63" i="30"/>
  <c r="AB41" i="33"/>
  <c r="AB45" i="30"/>
  <c r="AB67" i="32"/>
  <c r="AB37" i="30"/>
  <c r="AB66" i="30"/>
  <c r="AB54" i="30"/>
  <c r="AB32" i="31"/>
  <c r="AB44" i="31"/>
  <c r="AB58" i="31"/>
  <c r="AB70" i="31"/>
  <c r="AB35" i="32"/>
  <c r="AB47" i="32"/>
  <c r="AB61" i="32"/>
  <c r="AB38" i="33"/>
  <c r="AB52" i="33"/>
  <c r="AB64" i="33"/>
  <c r="AB46" i="30"/>
  <c r="AB61" i="31"/>
  <c r="AB52" i="32"/>
  <c r="AB55" i="33"/>
  <c r="AB48" i="31"/>
  <c r="AB65" i="32"/>
  <c r="AB44" i="30"/>
  <c r="AB63" i="31"/>
  <c r="AB70" i="33"/>
  <c r="AB29" i="30"/>
  <c r="AB36" i="30"/>
  <c r="AB65" i="30"/>
  <c r="AB53" i="30"/>
  <c r="AB33" i="31"/>
  <c r="AB45" i="31"/>
  <c r="AB59" i="31"/>
  <c r="AB36" i="32"/>
  <c r="AB48" i="32"/>
  <c r="AB62" i="32"/>
  <c r="AB39" i="33"/>
  <c r="AB53" i="33"/>
  <c r="AB65" i="33"/>
  <c r="Y22" i="30"/>
  <c r="AI22" i="30" s="1"/>
  <c r="Z22" i="30"/>
  <c r="AJ22" i="30" s="1"/>
  <c r="U22" i="30"/>
  <c r="AE22" i="30" s="1"/>
  <c r="V22" i="30"/>
  <c r="AF22" i="30" s="1"/>
  <c r="W22" i="30"/>
  <c r="AG22" i="30" s="1"/>
  <c r="X22" i="30"/>
  <c r="AH22" i="30" s="1"/>
  <c r="Y20" i="30"/>
  <c r="K20" i="30" s="1"/>
  <c r="U21" i="30"/>
  <c r="V21" i="30"/>
  <c r="V20" i="30"/>
  <c r="W21" i="30"/>
  <c r="U20" i="30"/>
  <c r="W20" i="30"/>
  <c r="X21" i="30"/>
  <c r="X20" i="30"/>
  <c r="Y21" i="30"/>
  <c r="K21" i="30" s="1"/>
  <c r="W14" i="30"/>
  <c r="V18" i="30"/>
  <c r="V16" i="30"/>
  <c r="V12" i="30"/>
  <c r="U18" i="30"/>
  <c r="U16" i="30"/>
  <c r="U14" i="30"/>
  <c r="U12" i="30"/>
  <c r="W17" i="30"/>
  <c r="W12" i="30"/>
  <c r="W19" i="30"/>
  <c r="W13" i="30"/>
  <c r="V19" i="30"/>
  <c r="V17" i="30"/>
  <c r="V13" i="30"/>
  <c r="U19" i="30"/>
  <c r="U17" i="30"/>
  <c r="U15" i="30"/>
  <c r="U13" i="30"/>
  <c r="W18" i="30"/>
  <c r="W15" i="30"/>
  <c r="V15" i="30"/>
  <c r="W16" i="30"/>
  <c r="V14" i="30"/>
  <c r="V10" i="30"/>
  <c r="U11" i="30"/>
  <c r="U10" i="30"/>
  <c r="Z10" i="30"/>
  <c r="V11" i="30"/>
  <c r="Y10" i="30"/>
  <c r="X10" i="30"/>
  <c r="Y11" i="30"/>
  <c r="X11" i="30"/>
  <c r="Z11" i="30"/>
  <c r="W11" i="30"/>
  <c r="W10" i="30"/>
  <c r="X9" i="30"/>
  <c r="J9" i="30" s="1"/>
  <c r="Z9" i="30"/>
  <c r="L9" i="30" s="1"/>
  <c r="Y9" i="30"/>
  <c r="K9" i="30" s="1"/>
  <c r="W9" i="30"/>
  <c r="I9" i="30" s="1"/>
  <c r="V9" i="30"/>
  <c r="H9" i="30" s="1"/>
  <c r="U9" i="30"/>
  <c r="G9" i="30" s="1"/>
  <c r="U8" i="30"/>
  <c r="G8" i="30" s="1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J47" i="18" s="1"/>
  <c r="I29" i="18"/>
  <c r="B44" i="19"/>
  <c r="A44" i="20" s="1"/>
  <c r="F18" i="28"/>
  <c r="Q15" i="27"/>
  <c r="Q10" i="27"/>
  <c r="U22" i="31" a="1"/>
  <c r="T66" i="31" a="1"/>
  <c r="T42" i="31" a="1"/>
  <c r="T33" i="31" a="1"/>
  <c r="V11" i="31" a="1"/>
  <c r="T65" i="31" a="1"/>
  <c r="T44" i="31" a="1"/>
  <c r="T58" i="31" a="1"/>
  <c r="T48" i="31" a="1"/>
  <c r="X22" i="31" a="1"/>
  <c r="T47" i="31" a="1"/>
  <c r="T34" i="31" a="1"/>
  <c r="X23" i="31" a="1"/>
  <c r="V18" i="31" a="1"/>
  <c r="U20" i="31" a="1"/>
  <c r="T53" i="31" a="1"/>
  <c r="W21" i="31" a="1"/>
  <c r="U9" i="31" a="1"/>
  <c r="W13" i="31" a="1"/>
  <c r="T57" i="31" a="1"/>
  <c r="T70" i="31" a="1"/>
  <c r="U17" i="31" a="1"/>
  <c r="W16" i="31" a="1"/>
  <c r="Y22" i="31" a="1"/>
  <c r="V10" i="31" a="1"/>
  <c r="V19" i="31" a="1"/>
  <c r="W15" i="31" a="1"/>
  <c r="U15" i="31" a="1"/>
  <c r="Z23" i="31" a="1"/>
  <c r="T35" i="31" a="1"/>
  <c r="T36" i="31" a="1"/>
  <c r="Y10" i="31" a="1"/>
  <c r="Z10" i="31" a="1"/>
  <c r="Y11" i="31" a="1"/>
  <c r="T41" i="31" a="1"/>
  <c r="W19" i="31" a="1"/>
  <c r="T61" i="31" a="1"/>
  <c r="V17" i="31" a="1"/>
  <c r="U11" i="31" a="1"/>
  <c r="X11" i="31" a="1"/>
  <c r="T59" i="31" a="1"/>
  <c r="V15" i="31" a="1"/>
  <c r="T67" i="31" a="1"/>
  <c r="T38" i="31" a="1"/>
  <c r="U16" i="31" a="1"/>
  <c r="U19" i="31" a="1"/>
  <c r="T43" i="31" a="1"/>
  <c r="V12" i="31" a="1"/>
  <c r="V23" i="31" a="1"/>
  <c r="T51" i="31" a="1"/>
  <c r="W17" i="31" a="1"/>
  <c r="T63" i="31" a="1"/>
  <c r="W14" i="31" a="1"/>
  <c r="T45" i="31" a="1"/>
  <c r="T64" i="31" a="1"/>
  <c r="X10" i="31" a="1"/>
  <c r="Z11" i="31" a="1"/>
  <c r="Z12" i="31" a="1"/>
  <c r="W10" i="31" a="1"/>
  <c r="T40" i="31" a="1"/>
  <c r="T60" i="31" a="1"/>
  <c r="T68" i="31" a="1"/>
  <c r="T32" i="31" a="1"/>
  <c r="T52" i="31" a="1"/>
  <c r="U10" i="31" a="1"/>
  <c r="T30" i="31" a="1"/>
  <c r="W22" i="31" a="1"/>
  <c r="T39" i="31" a="1"/>
  <c r="T62" i="31" a="1"/>
  <c r="W12" i="31" a="1"/>
  <c r="T54" i="31" a="1"/>
  <c r="U13" i="31" a="1"/>
  <c r="U12" i="31" a="1"/>
  <c r="W23" i="31" a="1"/>
  <c r="Y12" i="31" a="1"/>
  <c r="W18" i="31" a="1"/>
  <c r="T31" i="31" a="1"/>
  <c r="W20" i="31" a="1"/>
  <c r="T46" i="31" a="1"/>
  <c r="V22" i="31" a="1"/>
  <c r="U23" i="31" a="1"/>
  <c r="T55" i="31" a="1"/>
  <c r="V13" i="31" a="1"/>
  <c r="V20" i="31" a="1"/>
  <c r="T56" i="31" a="1"/>
  <c r="Y23" i="31" a="1"/>
  <c r="X12" i="31" a="1"/>
  <c r="U21" i="31" a="1"/>
  <c r="W11" i="31" a="1"/>
  <c r="X21" i="31" a="1"/>
  <c r="V21" i="31" a="1"/>
  <c r="T37" i="31" a="1"/>
  <c r="T69" i="31" a="1"/>
  <c r="V16" i="31" a="1"/>
  <c r="U18" i="31" a="1"/>
  <c r="V14" i="31" a="1"/>
  <c r="Y21" i="31" a="1"/>
  <c r="U14" i="31" a="1"/>
  <c r="T30" i="31" l="1"/>
  <c r="T34" i="31"/>
  <c r="T42" i="31"/>
  <c r="T47" i="31"/>
  <c r="T57" i="31"/>
  <c r="T60" i="31"/>
  <c r="T45" i="31"/>
  <c r="T55" i="31"/>
  <c r="T69" i="31"/>
  <c r="T31" i="31"/>
  <c r="T67" i="31"/>
  <c r="T40" i="31"/>
  <c r="T44" i="31"/>
  <c r="T52" i="31"/>
  <c r="T38" i="31"/>
  <c r="T58" i="31"/>
  <c r="T63" i="31"/>
  <c r="T46" i="31"/>
  <c r="T70" i="31"/>
  <c r="T35" i="31"/>
  <c r="T43" i="31"/>
  <c r="T64" i="31"/>
  <c r="T41" i="31"/>
  <c r="T53" i="31"/>
  <c r="T56" i="31"/>
  <c r="T32" i="31"/>
  <c r="T65" i="31"/>
  <c r="T54" i="31"/>
  <c r="T68" i="31"/>
  <c r="T62" i="31"/>
  <c r="T36" i="31"/>
  <c r="T66" i="31"/>
  <c r="T39" i="31"/>
  <c r="T59" i="31"/>
  <c r="T48" i="31"/>
  <c r="T37" i="31"/>
  <c r="T33" i="31"/>
  <c r="T51" i="31"/>
  <c r="T61" i="31"/>
  <c r="A29" i="30"/>
  <c r="V29" i="30"/>
  <c r="AF29" i="30" s="1"/>
  <c r="U29" i="30"/>
  <c r="AE29" i="30" s="1"/>
  <c r="A33" i="30"/>
  <c r="U33" i="30"/>
  <c r="AE33" i="30" s="1"/>
  <c r="V33" i="30"/>
  <c r="AF33" i="30" s="1"/>
  <c r="A41" i="30"/>
  <c r="V41" i="30"/>
  <c r="AF41" i="30" s="1"/>
  <c r="U41" i="30"/>
  <c r="AE41" i="30" s="1"/>
  <c r="A46" i="30"/>
  <c r="U46" i="30"/>
  <c r="AE46" i="30" s="1"/>
  <c r="V46" i="30"/>
  <c r="AF46" i="30" s="1"/>
  <c r="A56" i="30"/>
  <c r="V56" i="30"/>
  <c r="AF56" i="30" s="1"/>
  <c r="U56" i="30"/>
  <c r="AE56" i="30" s="1"/>
  <c r="A59" i="30"/>
  <c r="U59" i="30"/>
  <c r="AE59" i="30" s="1"/>
  <c r="V59" i="30"/>
  <c r="AF59" i="30" s="1"/>
  <c r="A44" i="30"/>
  <c r="V44" i="30"/>
  <c r="AF44" i="30" s="1"/>
  <c r="U44" i="30"/>
  <c r="AE44" i="30" s="1"/>
  <c r="A54" i="30"/>
  <c r="V54" i="30"/>
  <c r="AF54" i="30" s="1"/>
  <c r="U54" i="30"/>
  <c r="AE54" i="30" s="1"/>
  <c r="A68" i="30"/>
  <c r="V68" i="30"/>
  <c r="AF68" i="30" s="1"/>
  <c r="U68" i="30"/>
  <c r="AE68" i="30" s="1"/>
  <c r="A30" i="30"/>
  <c r="U30" i="30"/>
  <c r="AE30" i="30" s="1"/>
  <c r="V30" i="30"/>
  <c r="AF30" i="30" s="1"/>
  <c r="A66" i="30"/>
  <c r="V66" i="30"/>
  <c r="AF66" i="30" s="1"/>
  <c r="U66" i="30"/>
  <c r="AE66" i="30" s="1"/>
  <c r="A39" i="30"/>
  <c r="U39" i="30"/>
  <c r="AE39" i="30" s="1"/>
  <c r="V39" i="30"/>
  <c r="AF39" i="30" s="1"/>
  <c r="A43" i="30"/>
  <c r="V43" i="30"/>
  <c r="AF43" i="30" s="1"/>
  <c r="U43" i="30"/>
  <c r="AE43" i="30" s="1"/>
  <c r="A51" i="30"/>
  <c r="U51" i="30"/>
  <c r="AE51" i="30" s="1"/>
  <c r="V51" i="30"/>
  <c r="AF51" i="30" s="1"/>
  <c r="A37" i="30"/>
  <c r="V37" i="30"/>
  <c r="AF37" i="30" s="1"/>
  <c r="U37" i="30"/>
  <c r="AE37" i="30" s="1"/>
  <c r="A57" i="30"/>
  <c r="U57" i="30"/>
  <c r="AE57" i="30" s="1"/>
  <c r="V57" i="30"/>
  <c r="AF57" i="30" s="1"/>
  <c r="A62" i="30"/>
  <c r="V62" i="30"/>
  <c r="AF62" i="30" s="1"/>
  <c r="U62" i="30"/>
  <c r="AE62" i="30" s="1"/>
  <c r="A45" i="30"/>
  <c r="V45" i="30"/>
  <c r="AF45" i="30" s="1"/>
  <c r="U45" i="30"/>
  <c r="AE45" i="30" s="1"/>
  <c r="A69" i="30"/>
  <c r="U69" i="30"/>
  <c r="AE69" i="30" s="1"/>
  <c r="V69" i="30"/>
  <c r="AF69" i="30" s="1"/>
  <c r="A34" i="30"/>
  <c r="V34" i="30"/>
  <c r="AF34" i="30" s="1"/>
  <c r="U34" i="30"/>
  <c r="AE34" i="30" s="1"/>
  <c r="A42" i="30"/>
  <c r="U42" i="30"/>
  <c r="AE42" i="30" s="1"/>
  <c r="V42" i="30"/>
  <c r="AF42" i="30" s="1"/>
  <c r="A63" i="30"/>
  <c r="U63" i="30"/>
  <c r="AE63" i="30" s="1"/>
  <c r="V63" i="30"/>
  <c r="AF63" i="30" s="1"/>
  <c r="A40" i="30"/>
  <c r="V40" i="30"/>
  <c r="AF40" i="30" s="1"/>
  <c r="U40" i="30"/>
  <c r="AE40" i="30" s="1"/>
  <c r="A52" i="30"/>
  <c r="U52" i="30"/>
  <c r="AE52" i="30" s="1"/>
  <c r="V52" i="30"/>
  <c r="AF52" i="30" s="1"/>
  <c r="A55" i="30"/>
  <c r="V55" i="30"/>
  <c r="AF55" i="30" s="1"/>
  <c r="U55" i="30"/>
  <c r="AE55" i="30" s="1"/>
  <c r="A31" i="30"/>
  <c r="U31" i="30"/>
  <c r="AE31" i="30" s="1"/>
  <c r="V31" i="30"/>
  <c r="AF31" i="30" s="1"/>
  <c r="A64" i="30"/>
  <c r="V64" i="30"/>
  <c r="AF64" i="30" s="1"/>
  <c r="U64" i="30"/>
  <c r="AE64" i="30" s="1"/>
  <c r="A53" i="30"/>
  <c r="U53" i="30"/>
  <c r="AE53" i="30" s="1"/>
  <c r="V53" i="30"/>
  <c r="AF53" i="30" s="1"/>
  <c r="A67" i="30"/>
  <c r="U67" i="30"/>
  <c r="AE67" i="30" s="1"/>
  <c r="V67" i="30"/>
  <c r="AF67" i="30" s="1"/>
  <c r="A61" i="30"/>
  <c r="U61" i="30"/>
  <c r="AE61" i="30" s="1"/>
  <c r="V61" i="30"/>
  <c r="AF61" i="30" s="1"/>
  <c r="A35" i="30"/>
  <c r="U35" i="30"/>
  <c r="AE35" i="30" s="1"/>
  <c r="V35" i="30"/>
  <c r="AF35" i="30" s="1"/>
  <c r="A65" i="30"/>
  <c r="V65" i="30"/>
  <c r="AF65" i="30" s="1"/>
  <c r="U65" i="30"/>
  <c r="AE65" i="30" s="1"/>
  <c r="A38" i="30"/>
  <c r="V38" i="30"/>
  <c r="AF38" i="30" s="1"/>
  <c r="U38" i="30"/>
  <c r="AE38" i="30" s="1"/>
  <c r="A58" i="30"/>
  <c r="V58" i="30"/>
  <c r="AF58" i="30" s="1"/>
  <c r="U58" i="30"/>
  <c r="AE58" i="30" s="1"/>
  <c r="A47" i="30"/>
  <c r="V47" i="30"/>
  <c r="AF47" i="30" s="1"/>
  <c r="U47" i="30"/>
  <c r="AE47" i="30" s="1"/>
  <c r="A36" i="30"/>
  <c r="U36" i="30"/>
  <c r="AE36" i="30" s="1"/>
  <c r="V36" i="30"/>
  <c r="AF36" i="30" s="1"/>
  <c r="A32" i="30"/>
  <c r="U32" i="30"/>
  <c r="AE32" i="30" s="1"/>
  <c r="V32" i="30"/>
  <c r="AF32" i="30" s="1"/>
  <c r="A50" i="30"/>
  <c r="V50" i="30"/>
  <c r="AF50" i="30" s="1"/>
  <c r="U50" i="30"/>
  <c r="AE50" i="30" s="1"/>
  <c r="A60" i="30"/>
  <c r="U60" i="30"/>
  <c r="AE60" i="30" s="1"/>
  <c r="V60" i="30"/>
  <c r="AF60" i="30" s="1"/>
  <c r="AH20" i="30"/>
  <c r="J20" i="30"/>
  <c r="AH21" i="30"/>
  <c r="J21" i="30"/>
  <c r="AG20" i="30"/>
  <c r="I20" i="30"/>
  <c r="AE20" i="30"/>
  <c r="G20" i="30"/>
  <c r="AF21" i="30"/>
  <c r="H21" i="30"/>
  <c r="AG21" i="30"/>
  <c r="I21" i="30"/>
  <c r="AF20" i="30"/>
  <c r="H20" i="30"/>
  <c r="AE21" i="30"/>
  <c r="G21" i="30"/>
  <c r="AF13" i="30"/>
  <c r="H13" i="30"/>
  <c r="AF18" i="30"/>
  <c r="H18" i="30"/>
  <c r="AF19" i="30"/>
  <c r="H19" i="30"/>
  <c r="AF14" i="30"/>
  <c r="H14" i="30"/>
  <c r="AG13" i="30"/>
  <c r="I13" i="30"/>
  <c r="AE19" i="30"/>
  <c r="G19" i="30"/>
  <c r="AF16" i="30"/>
  <c r="H16" i="30"/>
  <c r="AF17" i="30"/>
  <c r="H17" i="30"/>
  <c r="AG16" i="30"/>
  <c r="I16" i="30"/>
  <c r="AG19" i="30"/>
  <c r="I19" i="30"/>
  <c r="AF12" i="30"/>
  <c r="H12" i="30"/>
  <c r="AG14" i="30"/>
  <c r="I14" i="30"/>
  <c r="AF15" i="30"/>
  <c r="H15" i="30"/>
  <c r="AG12" i="30"/>
  <c r="I12" i="30"/>
  <c r="AG17" i="30"/>
  <c r="I17" i="30"/>
  <c r="AG15" i="30"/>
  <c r="I15" i="30"/>
  <c r="AG18" i="30"/>
  <c r="I18" i="30"/>
  <c r="AE12" i="30"/>
  <c r="G12" i="30"/>
  <c r="AE13" i="30"/>
  <c r="G13" i="30"/>
  <c r="AE14" i="30"/>
  <c r="G14" i="30"/>
  <c r="AE15" i="30"/>
  <c r="G15" i="30"/>
  <c r="AE16" i="30"/>
  <c r="G16" i="30"/>
  <c r="AE17" i="30"/>
  <c r="G17" i="30"/>
  <c r="AE18" i="30"/>
  <c r="G18" i="30"/>
  <c r="AJ10" i="30"/>
  <c r="L10" i="30"/>
  <c r="AE11" i="30"/>
  <c r="G11" i="30"/>
  <c r="AH10" i="30"/>
  <c r="J10" i="30"/>
  <c r="AG10" i="30"/>
  <c r="I10" i="30"/>
  <c r="AG11" i="30"/>
  <c r="I11" i="30"/>
  <c r="AJ11" i="30"/>
  <c r="L11" i="30"/>
  <c r="AI11" i="30"/>
  <c r="K11" i="30"/>
  <c r="AF10" i="30"/>
  <c r="H10" i="30"/>
  <c r="AH11" i="30"/>
  <c r="J11" i="30"/>
  <c r="AI10" i="30"/>
  <c r="K10" i="30"/>
  <c r="AF11" i="30"/>
  <c r="H11" i="30"/>
  <c r="AE10" i="30"/>
  <c r="G10" i="30"/>
  <c r="AI9" i="30"/>
  <c r="AJ9" i="30"/>
  <c r="AH9" i="30"/>
  <c r="AG9" i="30"/>
  <c r="AF9" i="30"/>
  <c r="AE9" i="30"/>
  <c r="AE8" i="30"/>
  <c r="V18" i="31"/>
  <c r="X10" i="31"/>
  <c r="V20" i="31"/>
  <c r="W23" i="31"/>
  <c r="AG23" i="31" s="1"/>
  <c r="W11" i="31"/>
  <c r="W14" i="31"/>
  <c r="V23" i="31"/>
  <c r="AF23" i="31" s="1"/>
  <c r="W17" i="31"/>
  <c r="W20" i="31"/>
  <c r="X21" i="31"/>
  <c r="U23" i="31"/>
  <c r="AE23" i="31" s="1"/>
  <c r="V16" i="31"/>
  <c r="W13" i="31"/>
  <c r="Z23" i="31"/>
  <c r="AJ23" i="31" s="1"/>
  <c r="X12" i="31"/>
  <c r="W16" i="31"/>
  <c r="W21" i="31"/>
  <c r="Y23" i="31"/>
  <c r="AI23" i="31" s="1"/>
  <c r="W19" i="31"/>
  <c r="U13" i="31"/>
  <c r="U21" i="31"/>
  <c r="V19" i="31"/>
  <c r="V11" i="31"/>
  <c r="W15" i="31"/>
  <c r="V15" i="31"/>
  <c r="Y22" i="31"/>
  <c r="K22" i="31" s="1"/>
  <c r="U9" i="31"/>
  <c r="G9" i="31" s="1"/>
  <c r="X11" i="31"/>
  <c r="U14" i="31"/>
  <c r="U15" i="31"/>
  <c r="W22" i="31"/>
  <c r="Y11" i="31"/>
  <c r="U16" i="31"/>
  <c r="V21" i="31"/>
  <c r="V12" i="31"/>
  <c r="U19" i="31"/>
  <c r="V22" i="31"/>
  <c r="Z11" i="31"/>
  <c r="U20" i="31"/>
  <c r="V13" i="31"/>
  <c r="U11" i="31"/>
  <c r="V14" i="31"/>
  <c r="V17" i="31"/>
  <c r="Y21" i="31"/>
  <c r="K21" i="31" s="1"/>
  <c r="U17" i="31"/>
  <c r="U18" i="31"/>
  <c r="U12" i="31"/>
  <c r="W10" i="31"/>
  <c r="X22" i="31"/>
  <c r="Z10" i="31"/>
  <c r="Y12" i="31"/>
  <c r="W18" i="31"/>
  <c r="Z12" i="31"/>
  <c r="X23" i="31"/>
  <c r="AH23" i="31" s="1"/>
  <c r="V10" i="31"/>
  <c r="U22" i="31"/>
  <c r="U10" i="31"/>
  <c r="W12" i="31"/>
  <c r="Y10" i="31"/>
  <c r="H44" i="20"/>
  <c r="G44" i="20"/>
  <c r="D2" i="27"/>
  <c r="E2" i="27" s="1"/>
  <c r="F2" i="27" s="1"/>
  <c r="G2" i="27" s="1"/>
  <c r="H2" i="27" s="1"/>
  <c r="I2" i="27" s="1"/>
  <c r="J2" i="27" s="1"/>
  <c r="K2" i="27" s="1"/>
  <c r="L2" i="27" s="1"/>
  <c r="M2" i="27" s="1"/>
  <c r="N2" i="27" s="1"/>
  <c r="O2" i="27" s="1"/>
  <c r="P2" i="27" s="1"/>
  <c r="Q2" i="27" s="1"/>
  <c r="R2" i="27" s="1"/>
  <c r="S2" i="27" s="1"/>
  <c r="T2" i="27" s="1"/>
  <c r="U2" i="27" s="1"/>
  <c r="V2" i="27" s="1"/>
  <c r="Q11" i="27"/>
  <c r="S11" i="27"/>
  <c r="R10" i="27"/>
  <c r="U11" i="27"/>
  <c r="U10" i="27"/>
  <c r="S10" i="27"/>
  <c r="T10" i="27"/>
  <c r="V10" i="27"/>
  <c r="T11" i="27"/>
  <c r="V11" i="27"/>
  <c r="R11" i="27"/>
  <c r="U18" i="32" a="1"/>
  <c r="T34" i="32" a="1"/>
  <c r="T51" i="32" a="1"/>
  <c r="V22" i="32" a="1"/>
  <c r="T56" i="32" a="1"/>
  <c r="W11" i="32" a="1"/>
  <c r="T57" i="32" a="1"/>
  <c r="T31" i="32" a="1"/>
  <c r="T43" i="32" a="1"/>
  <c r="T38" i="32" a="1"/>
  <c r="T44" i="32" a="1"/>
  <c r="T35" i="32" a="1"/>
  <c r="X21" i="32" a="1"/>
  <c r="T62" i="32" a="1"/>
  <c r="T67" i="32" a="1"/>
  <c r="Y22" i="32" a="1"/>
  <c r="W23" i="32" a="1"/>
  <c r="V20" i="32" a="1"/>
  <c r="U16" i="32" a="1"/>
  <c r="V12" i="32" a="1"/>
  <c r="W17" i="32" a="1"/>
  <c r="U15" i="32" a="1"/>
  <c r="T58" i="32" a="1"/>
  <c r="Z11" i="32" a="1"/>
  <c r="Y10" i="32" a="1"/>
  <c r="V21" i="32" a="1"/>
  <c r="T59" i="32" a="1"/>
  <c r="W19" i="32" a="1"/>
  <c r="U10" i="32" a="1"/>
  <c r="U22" i="32" a="1"/>
  <c r="T66" i="32" a="1"/>
  <c r="U11" i="32" a="1"/>
  <c r="V14" i="32" a="1"/>
  <c r="W18" i="32" a="1"/>
  <c r="T65" i="32" a="1"/>
  <c r="X23" i="32" a="1"/>
  <c r="W10" i="32" a="1"/>
  <c r="U19" i="32" a="1"/>
  <c r="U12" i="32" a="1"/>
  <c r="T47" i="32" a="1"/>
  <c r="Z23" i="32" a="1"/>
  <c r="T54" i="32" a="1"/>
  <c r="T45" i="32" a="1"/>
  <c r="V23" i="32" a="1"/>
  <c r="W20" i="32" a="1"/>
  <c r="T68" i="32" a="1"/>
  <c r="T63" i="32" a="1"/>
  <c r="T52" i="32" a="1"/>
  <c r="T36" i="32" a="1"/>
  <c r="T40" i="32" a="1"/>
  <c r="T61" i="32" a="1"/>
  <c r="V11" i="32" a="1"/>
  <c r="V17" i="32" a="1"/>
  <c r="Z12" i="32" a="1"/>
  <c r="W16" i="32" a="1"/>
  <c r="T60" i="32" a="1"/>
  <c r="T64" i="32" a="1"/>
  <c r="Y12" i="32" a="1"/>
  <c r="V13" i="32" a="1"/>
  <c r="V16" i="32" a="1"/>
  <c r="T55" i="32" a="1"/>
  <c r="X10" i="32" a="1"/>
  <c r="Y23" i="32" a="1"/>
  <c r="X11" i="32" a="1"/>
  <c r="W21" i="32" a="1"/>
  <c r="V15" i="32" a="1"/>
  <c r="T53" i="32" a="1"/>
  <c r="V18" i="32" a="1"/>
  <c r="W22" i="32" a="1"/>
  <c r="T32" i="32" a="1"/>
  <c r="T46" i="32" a="1"/>
  <c r="T48" i="32" a="1"/>
  <c r="T41" i="32" a="1"/>
  <c r="Y21" i="32" a="1"/>
  <c r="T69" i="32" a="1"/>
  <c r="U21" i="32" a="1"/>
  <c r="U17" i="32" a="1"/>
  <c r="W13" i="32" a="1"/>
  <c r="W14" i="32" a="1"/>
  <c r="T39" i="32" a="1"/>
  <c r="Z10" i="32" a="1"/>
  <c r="U9" i="32" a="1"/>
  <c r="X22" i="32" a="1"/>
  <c r="V19" i="32" a="1"/>
  <c r="T37" i="32" a="1"/>
  <c r="T70" i="32" a="1"/>
  <c r="W15" i="32" a="1"/>
  <c r="U23" i="32" a="1"/>
  <c r="T30" i="32" a="1"/>
  <c r="Y11" i="32" a="1"/>
  <c r="X12" i="32" a="1"/>
  <c r="T42" i="32" a="1"/>
  <c r="U14" i="32" a="1"/>
  <c r="W12" i="32" a="1"/>
  <c r="T33" i="32" a="1"/>
  <c r="U20" i="32" a="1"/>
  <c r="U13" i="32" a="1"/>
  <c r="V10" i="32" a="1"/>
  <c r="T40" i="32" l="1"/>
  <c r="T48" i="32"/>
  <c r="T41" i="32"/>
  <c r="T67" i="32"/>
  <c r="T59" i="32"/>
  <c r="T64" i="32"/>
  <c r="T31" i="32"/>
  <c r="T39" i="32"/>
  <c r="T43" i="32"/>
  <c r="T69" i="32"/>
  <c r="T66" i="32"/>
  <c r="T35" i="32"/>
  <c r="T55" i="32"/>
  <c r="T36" i="32"/>
  <c r="T70" i="32"/>
  <c r="T45" i="32"/>
  <c r="T62" i="32"/>
  <c r="T46" i="32"/>
  <c r="T60" i="32"/>
  <c r="T37" i="32"/>
  <c r="T68" i="32"/>
  <c r="T63" i="32"/>
  <c r="T57" i="32"/>
  <c r="T54" i="32"/>
  <c r="T58" i="32"/>
  <c r="T47" i="32"/>
  <c r="T53" i="32"/>
  <c r="T61" i="32"/>
  <c r="T65" i="32"/>
  <c r="T38" i="32"/>
  <c r="T42" i="32"/>
  <c r="T51" i="32"/>
  <c r="T32" i="32"/>
  <c r="T52" i="32"/>
  <c r="T34" i="32"/>
  <c r="T33" i="32"/>
  <c r="T56" i="32"/>
  <c r="T44" i="32"/>
  <c r="T30" i="32"/>
  <c r="A40" i="31"/>
  <c r="U40" i="31"/>
  <c r="AE40" i="31" s="1"/>
  <c r="V40" i="31"/>
  <c r="AF40" i="31" s="1"/>
  <c r="A48" i="31"/>
  <c r="U48" i="31"/>
  <c r="AE48" i="31" s="1"/>
  <c r="V48" i="31"/>
  <c r="AF48" i="31" s="1"/>
  <c r="A41" i="31"/>
  <c r="U41" i="31"/>
  <c r="AE41" i="31" s="1"/>
  <c r="V41" i="31"/>
  <c r="AF41" i="31" s="1"/>
  <c r="A67" i="31"/>
  <c r="U67" i="31"/>
  <c r="AE67" i="31" s="1"/>
  <c r="V67" i="31"/>
  <c r="AF67" i="31" s="1"/>
  <c r="A59" i="31"/>
  <c r="U59" i="31"/>
  <c r="AE59" i="31" s="1"/>
  <c r="V59" i="31"/>
  <c r="AF59" i="31" s="1"/>
  <c r="A64" i="31"/>
  <c r="U64" i="31"/>
  <c r="AE64" i="31" s="1"/>
  <c r="V64" i="31"/>
  <c r="AF64" i="31" s="1"/>
  <c r="A31" i="31"/>
  <c r="U31" i="31"/>
  <c r="AE31" i="31" s="1"/>
  <c r="V31" i="31"/>
  <c r="AF31" i="31" s="1"/>
  <c r="A39" i="31"/>
  <c r="U39" i="31"/>
  <c r="AE39" i="31" s="1"/>
  <c r="V39" i="31"/>
  <c r="AF39" i="31" s="1"/>
  <c r="A43" i="31"/>
  <c r="U43" i="31"/>
  <c r="AE43" i="31" s="1"/>
  <c r="V43" i="31"/>
  <c r="AF43" i="31" s="1"/>
  <c r="A69" i="31"/>
  <c r="U69" i="31"/>
  <c r="AE69" i="31" s="1"/>
  <c r="V69" i="31"/>
  <c r="AF69" i="31" s="1"/>
  <c r="A66" i="31"/>
  <c r="U66" i="31"/>
  <c r="AE66" i="31" s="1"/>
  <c r="V66" i="31"/>
  <c r="AF66" i="31" s="1"/>
  <c r="A35" i="31"/>
  <c r="V35" i="31"/>
  <c r="AF35" i="31" s="1"/>
  <c r="U35" i="31"/>
  <c r="AE35" i="31" s="1"/>
  <c r="A55" i="31"/>
  <c r="U55" i="31"/>
  <c r="AE55" i="31" s="1"/>
  <c r="V55" i="31"/>
  <c r="AF55" i="31" s="1"/>
  <c r="A36" i="31"/>
  <c r="V36" i="31"/>
  <c r="AF36" i="31" s="1"/>
  <c r="U36" i="31"/>
  <c r="AE36" i="31" s="1"/>
  <c r="A70" i="31"/>
  <c r="U70" i="31"/>
  <c r="AE70" i="31" s="1"/>
  <c r="V70" i="31"/>
  <c r="AF70" i="31" s="1"/>
  <c r="A45" i="31"/>
  <c r="U45" i="31"/>
  <c r="AE45" i="31" s="1"/>
  <c r="V45" i="31"/>
  <c r="AF45" i="31" s="1"/>
  <c r="A62" i="31"/>
  <c r="V62" i="31"/>
  <c r="AF62" i="31" s="1"/>
  <c r="U62" i="31"/>
  <c r="AE62" i="31" s="1"/>
  <c r="A46" i="31"/>
  <c r="U46" i="31"/>
  <c r="AE46" i="31" s="1"/>
  <c r="V46" i="31"/>
  <c r="AF46" i="31" s="1"/>
  <c r="A60" i="31"/>
  <c r="U60" i="31"/>
  <c r="AE60" i="31" s="1"/>
  <c r="V60" i="31"/>
  <c r="AF60" i="31" s="1"/>
  <c r="A37" i="31"/>
  <c r="V37" i="31"/>
  <c r="AF37" i="31" s="1"/>
  <c r="U37" i="31"/>
  <c r="AE37" i="31" s="1"/>
  <c r="A68" i="31"/>
  <c r="V68" i="31"/>
  <c r="AF68" i="31" s="1"/>
  <c r="U68" i="31"/>
  <c r="AE68" i="31" s="1"/>
  <c r="A63" i="31"/>
  <c r="U63" i="31"/>
  <c r="AE63" i="31" s="1"/>
  <c r="V63" i="31"/>
  <c r="AF63" i="31" s="1"/>
  <c r="A57" i="31"/>
  <c r="U57" i="31"/>
  <c r="AE57" i="31" s="1"/>
  <c r="V57" i="31"/>
  <c r="AF57" i="31" s="1"/>
  <c r="A54" i="31"/>
  <c r="U54" i="31"/>
  <c r="AE54" i="31" s="1"/>
  <c r="V54" i="31"/>
  <c r="AF54" i="31" s="1"/>
  <c r="A58" i="31"/>
  <c r="U58" i="31"/>
  <c r="AE58" i="31" s="1"/>
  <c r="V58" i="31"/>
  <c r="AF58" i="31" s="1"/>
  <c r="A47" i="31"/>
  <c r="U47" i="31"/>
  <c r="AE47" i="31" s="1"/>
  <c r="V47" i="31"/>
  <c r="AF47" i="31" s="1"/>
  <c r="A53" i="31"/>
  <c r="U53" i="31"/>
  <c r="AE53" i="31" s="1"/>
  <c r="V53" i="31"/>
  <c r="AF53" i="31" s="1"/>
  <c r="A61" i="31"/>
  <c r="U61" i="31"/>
  <c r="AE61" i="31" s="1"/>
  <c r="V61" i="31"/>
  <c r="AF61" i="31" s="1"/>
  <c r="A65" i="31"/>
  <c r="U65" i="31"/>
  <c r="AE65" i="31" s="1"/>
  <c r="V65" i="31"/>
  <c r="AF65" i="31" s="1"/>
  <c r="A38" i="31"/>
  <c r="U38" i="31"/>
  <c r="AE38" i="31" s="1"/>
  <c r="V38" i="31"/>
  <c r="AF38" i="31" s="1"/>
  <c r="A42" i="31"/>
  <c r="V42" i="31"/>
  <c r="AF42" i="31" s="1"/>
  <c r="U42" i="31"/>
  <c r="AE42" i="31" s="1"/>
  <c r="A51" i="31"/>
  <c r="V51" i="31"/>
  <c r="AF51" i="31" s="1"/>
  <c r="U51" i="31"/>
  <c r="AE51" i="31" s="1"/>
  <c r="A32" i="31"/>
  <c r="U32" i="31"/>
  <c r="AE32" i="31" s="1"/>
  <c r="V32" i="31"/>
  <c r="AF32" i="31" s="1"/>
  <c r="A52" i="31"/>
  <c r="U52" i="31"/>
  <c r="AE52" i="31" s="1"/>
  <c r="V52" i="31"/>
  <c r="AF52" i="31" s="1"/>
  <c r="A34" i="31"/>
  <c r="U34" i="31"/>
  <c r="AE34" i="31" s="1"/>
  <c r="V34" i="31"/>
  <c r="AF34" i="31" s="1"/>
  <c r="A33" i="31"/>
  <c r="U33" i="31"/>
  <c r="AE33" i="31" s="1"/>
  <c r="V33" i="31"/>
  <c r="AF33" i="31" s="1"/>
  <c r="A56" i="31"/>
  <c r="U56" i="31"/>
  <c r="AE56" i="31" s="1"/>
  <c r="V56" i="31"/>
  <c r="AF56" i="31" s="1"/>
  <c r="A44" i="31"/>
  <c r="V44" i="31"/>
  <c r="AF44" i="31" s="1"/>
  <c r="U44" i="31"/>
  <c r="AE44" i="31" s="1"/>
  <c r="A30" i="31"/>
  <c r="U30" i="31"/>
  <c r="AE30" i="31" s="1"/>
  <c r="V30" i="31"/>
  <c r="AF30" i="31" s="1"/>
  <c r="AG22" i="31"/>
  <c r="I22" i="31"/>
  <c r="AH22" i="31"/>
  <c r="J22" i="31"/>
  <c r="AG21" i="31"/>
  <c r="I21" i="31"/>
  <c r="AF21" i="31"/>
  <c r="H21" i="31"/>
  <c r="AE22" i="31"/>
  <c r="G22" i="31"/>
  <c r="AE21" i="31"/>
  <c r="G21" i="31"/>
  <c r="AF22" i="31"/>
  <c r="H22" i="31"/>
  <c r="AH21" i="31"/>
  <c r="J21" i="31"/>
  <c r="AG19" i="31"/>
  <c r="I19" i="31"/>
  <c r="AF17" i="31"/>
  <c r="H17" i="31"/>
  <c r="AE19" i="31"/>
  <c r="G19" i="31"/>
  <c r="AG20" i="31"/>
  <c r="I20" i="31"/>
  <c r="AF14" i="31"/>
  <c r="H14" i="31"/>
  <c r="AG15" i="31"/>
  <c r="I15" i="31"/>
  <c r="AG17" i="31"/>
  <c r="I17" i="31"/>
  <c r="AE13" i="31"/>
  <c r="G13" i="31"/>
  <c r="AF18" i="31"/>
  <c r="H18" i="31"/>
  <c r="AE18" i="31"/>
  <c r="G18" i="31"/>
  <c r="AE15" i="31"/>
  <c r="G15" i="31"/>
  <c r="AG13" i="31"/>
  <c r="I13" i="31"/>
  <c r="AF15" i="31"/>
  <c r="H15" i="31"/>
  <c r="AE14" i="31"/>
  <c r="G14" i="31"/>
  <c r="AF19" i="31"/>
  <c r="H19" i="31"/>
  <c r="AF16" i="31"/>
  <c r="H16" i="31"/>
  <c r="AG14" i="31"/>
  <c r="I14" i="31"/>
  <c r="AF13" i="31"/>
  <c r="H13" i="31"/>
  <c r="AG16" i="31"/>
  <c r="I16" i="31"/>
  <c r="AG18" i="31"/>
  <c r="I18" i="31"/>
  <c r="AE20" i="31"/>
  <c r="G20" i="31"/>
  <c r="AE17" i="31"/>
  <c r="G17" i="31"/>
  <c r="AE16" i="31"/>
  <c r="G16" i="31"/>
  <c r="AF20" i="31"/>
  <c r="H20" i="31"/>
  <c r="AE12" i="31"/>
  <c r="G12" i="31"/>
  <c r="AE11" i="31"/>
  <c r="G11" i="31"/>
  <c r="AF11" i="31"/>
  <c r="H11" i="31"/>
  <c r="AJ12" i="31"/>
  <c r="L12" i="31"/>
  <c r="AG11" i="31"/>
  <c r="I11" i="31"/>
  <c r="AJ11" i="31"/>
  <c r="L11" i="31"/>
  <c r="AF12" i="31"/>
  <c r="H12" i="31"/>
  <c r="AG12" i="31"/>
  <c r="I12" i="31"/>
  <c r="AH11" i="31"/>
  <c r="J11" i="31"/>
  <c r="AH12" i="31"/>
  <c r="J12" i="31"/>
  <c r="AI12" i="31"/>
  <c r="K12" i="31"/>
  <c r="AI11" i="31"/>
  <c r="K11" i="31"/>
  <c r="AG10" i="31"/>
  <c r="I10" i="31"/>
  <c r="AH10" i="31"/>
  <c r="J10" i="31"/>
  <c r="AI10" i="31"/>
  <c r="K10" i="31"/>
  <c r="AF10" i="31"/>
  <c r="H10" i="31"/>
  <c r="AJ10" i="31"/>
  <c r="L10" i="31"/>
  <c r="AE10" i="31"/>
  <c r="G10" i="31"/>
  <c r="AE9" i="31"/>
  <c r="U14" i="32"/>
  <c r="W14" i="32"/>
  <c r="W11" i="32"/>
  <c r="U9" i="32"/>
  <c r="W16" i="32"/>
  <c r="U17" i="32"/>
  <c r="Z11" i="32"/>
  <c r="U16" i="32"/>
  <c r="W23" i="32"/>
  <c r="U22" i="32"/>
  <c r="Y12" i="32"/>
  <c r="Y11" i="32"/>
  <c r="Y22" i="32"/>
  <c r="U21" i="32"/>
  <c r="V20" i="32"/>
  <c r="U13" i="32"/>
  <c r="X10" i="32"/>
  <c r="V10" i="32"/>
  <c r="U12" i="32"/>
  <c r="Y21" i="32"/>
  <c r="V22" i="32"/>
  <c r="W19" i="32"/>
  <c r="X21" i="32"/>
  <c r="V16" i="32"/>
  <c r="W12" i="32"/>
  <c r="W15" i="32"/>
  <c r="Y23" i="32"/>
  <c r="W21" i="32"/>
  <c r="V15" i="32"/>
  <c r="U23" i="32"/>
  <c r="V17" i="32"/>
  <c r="U19" i="32"/>
  <c r="W20" i="32"/>
  <c r="Y10" i="32"/>
  <c r="X23" i="32"/>
  <c r="Z10" i="32"/>
  <c r="V14" i="32"/>
  <c r="V12" i="32"/>
  <c r="W17" i="32"/>
  <c r="U11" i="32"/>
  <c r="W22" i="32"/>
  <c r="V11" i="32"/>
  <c r="Z23" i="32"/>
  <c r="V18" i="32"/>
  <c r="Z12" i="32"/>
  <c r="X22" i="32"/>
  <c r="U18" i="32"/>
  <c r="U15" i="32"/>
  <c r="W13" i="32"/>
  <c r="V23" i="32"/>
  <c r="V19" i="32"/>
  <c r="X11" i="32"/>
  <c r="V13" i="32"/>
  <c r="U10" i="32"/>
  <c r="W18" i="32"/>
  <c r="W10" i="32"/>
  <c r="U20" i="32"/>
  <c r="V21" i="32"/>
  <c r="X12" i="32"/>
  <c r="I61" i="19"/>
  <c r="I62" i="19"/>
  <c r="I63" i="19"/>
  <c r="I64" i="19"/>
  <c r="I65" i="19"/>
  <c r="I66" i="19"/>
  <c r="G24" i="26"/>
  <c r="Z23" i="33" a="1"/>
  <c r="T64" i="33" a="1"/>
  <c r="U19" i="33" a="1"/>
  <c r="Y10" i="33" a="1"/>
  <c r="V11" i="33" a="1"/>
  <c r="U10" i="33" a="1"/>
  <c r="Z10" i="33" a="1"/>
  <c r="T35" i="33" a="1"/>
  <c r="X21" i="33" a="1"/>
  <c r="T61" i="33" a="1"/>
  <c r="T70" i="33" a="1"/>
  <c r="T32" i="33" a="1"/>
  <c r="U22" i="33" a="1"/>
  <c r="V10" i="33" a="1"/>
  <c r="T39" i="33" a="1"/>
  <c r="T57" i="33" a="1"/>
  <c r="V21" i="33" a="1"/>
  <c r="W20" i="33" a="1"/>
  <c r="T47" i="33" a="1"/>
  <c r="T54" i="33" a="1"/>
  <c r="W16" i="33" a="1"/>
  <c r="Y21" i="33" a="1"/>
  <c r="T69" i="33" a="1"/>
  <c r="U23" i="33" a="1"/>
  <c r="Y11" i="33" a="1"/>
  <c r="T46" i="33" a="1"/>
  <c r="T67" i="33" a="1"/>
  <c r="T37" i="33" a="1"/>
  <c r="W12" i="33" a="1"/>
  <c r="T30" i="33" a="1"/>
  <c r="U17" i="33" a="1"/>
  <c r="U12" i="33" a="1"/>
  <c r="T48" i="33" a="1"/>
  <c r="T38" i="33" a="1"/>
  <c r="T31" i="33" a="1"/>
  <c r="X11" i="33" a="1"/>
  <c r="T59" i="33" a="1"/>
  <c r="V18" i="33" a="1"/>
  <c r="W15" i="33" a="1"/>
  <c r="T36" i="33" a="1"/>
  <c r="T52" i="33" a="1"/>
  <c r="Y23" i="33" a="1"/>
  <c r="T66" i="33" a="1"/>
  <c r="T34" i="33" a="1"/>
  <c r="T45" i="33" a="1"/>
  <c r="T51" i="33" a="1"/>
  <c r="V17" i="33" a="1"/>
  <c r="V23" i="33" a="1"/>
  <c r="W18" i="33" a="1"/>
  <c r="T40" i="33" a="1"/>
  <c r="T68" i="33" a="1"/>
  <c r="X23" i="33" a="1"/>
  <c r="U20" i="33" a="1"/>
  <c r="U15" i="33" a="1"/>
  <c r="U18" i="33" a="1"/>
  <c r="V12" i="33" a="1"/>
  <c r="T44" i="33" a="1"/>
  <c r="U21" i="33" a="1"/>
  <c r="T43" i="33" a="1"/>
  <c r="T55" i="33" a="1"/>
  <c r="W22" i="33" a="1"/>
  <c r="W17" i="33" a="1"/>
  <c r="W23" i="33" a="1"/>
  <c r="V13" i="33" a="1"/>
  <c r="T41" i="33" a="1"/>
  <c r="V15" i="33" a="1"/>
  <c r="Z11" i="33" a="1"/>
  <c r="T56" i="33" a="1"/>
  <c r="U16" i="33" a="1"/>
  <c r="U11" i="33" a="1"/>
  <c r="V16" i="33" a="1"/>
  <c r="T53" i="33" a="1"/>
  <c r="T58" i="33" a="1"/>
  <c r="X22" i="33" a="1"/>
  <c r="V20" i="33" a="1"/>
  <c r="V14" i="33" a="1"/>
  <c r="U14" i="33" a="1"/>
  <c r="W19" i="33" a="1"/>
  <c r="W14" i="33" a="1"/>
  <c r="Z12" i="33" a="1"/>
  <c r="W21" i="33" a="1"/>
  <c r="T62" i="33" a="1"/>
  <c r="V19" i="33" a="1"/>
  <c r="T42" i="33" a="1"/>
  <c r="U13" i="33" a="1"/>
  <c r="V22" i="33" a="1"/>
  <c r="X12" i="33" a="1"/>
  <c r="Y12" i="33" a="1"/>
  <c r="Y22" i="33" a="1"/>
  <c r="U9" i="33" a="1"/>
  <c r="T33" i="33" a="1"/>
  <c r="W11" i="33" a="1"/>
  <c r="W10" i="33" a="1"/>
  <c r="T60" i="33" a="1"/>
  <c r="W13" i="33" a="1"/>
  <c r="T63" i="33" a="1"/>
  <c r="X10" i="33" a="1"/>
  <c r="T65" i="33" a="1"/>
  <c r="AJ23" i="32" l="1"/>
  <c r="AF17" i="32"/>
  <c r="AE23" i="32"/>
  <c r="AE13" i="32"/>
  <c r="AF19" i="32"/>
  <c r="AG17" i="32"/>
  <c r="AF20" i="32"/>
  <c r="AF23" i="32"/>
  <c r="AG15" i="32"/>
  <c r="AE21" i="32"/>
  <c r="AG14" i="32"/>
  <c r="AG13" i="32"/>
  <c r="AF14" i="32"/>
  <c r="AE14" i="32"/>
  <c r="AF13" i="32"/>
  <c r="AG16" i="32"/>
  <c r="G9" i="32"/>
  <c r="AI23" i="32"/>
  <c r="AF15" i="32"/>
  <c r="AG21" i="32"/>
  <c r="AE15" i="32"/>
  <c r="AF16" i="32"/>
  <c r="AE18" i="32"/>
  <c r="AH23" i="32"/>
  <c r="AH21" i="32"/>
  <c r="AF21" i="32"/>
  <c r="AH22" i="32"/>
  <c r="AG19" i="32"/>
  <c r="AE22" i="32"/>
  <c r="AG18" i="32"/>
  <c r="AE17" i="32"/>
  <c r="AG22" i="32"/>
  <c r="AE20" i="32"/>
  <c r="AG20" i="32"/>
  <c r="AF22" i="32"/>
  <c r="AG23" i="32"/>
  <c r="AF18" i="32"/>
  <c r="AE19" i="32"/>
  <c r="AE16" i="32"/>
  <c r="K22" i="32"/>
  <c r="AI22" i="32"/>
  <c r="K21" i="32"/>
  <c r="AI21" i="32"/>
  <c r="T40" i="33"/>
  <c r="T33" i="33"/>
  <c r="T54" i="33"/>
  <c r="T35" i="33"/>
  <c r="T57" i="33"/>
  <c r="T52" i="33"/>
  <c r="T63" i="33"/>
  <c r="T69" i="33"/>
  <c r="T32" i="33"/>
  <c r="T68" i="33"/>
  <c r="T43" i="33"/>
  <c r="T39" i="33"/>
  <c r="T42" i="33"/>
  <c r="T60" i="33"/>
  <c r="T31" i="33"/>
  <c r="T66" i="33"/>
  <c r="T37" i="33"/>
  <c r="T38" i="33"/>
  <c r="T46" i="33"/>
  <c r="T64" i="33"/>
  <c r="T51" i="33"/>
  <c r="T65" i="33"/>
  <c r="T62" i="33"/>
  <c r="T59" i="33"/>
  <c r="T34" i="33"/>
  <c r="T61" i="33"/>
  <c r="T45" i="33"/>
  <c r="T67" i="33"/>
  <c r="T30" i="33"/>
  <c r="T53" i="33"/>
  <c r="T70" i="33"/>
  <c r="T41" i="33"/>
  <c r="T44" i="33"/>
  <c r="T47" i="33"/>
  <c r="T36" i="33"/>
  <c r="T48" i="33"/>
  <c r="T56" i="33"/>
  <c r="T58" i="33"/>
  <c r="T55" i="33"/>
  <c r="A40" i="32"/>
  <c r="V40" i="32"/>
  <c r="AF40" i="32" s="1"/>
  <c r="U40" i="32"/>
  <c r="AE40" i="32" s="1"/>
  <c r="A33" i="32"/>
  <c r="V33" i="32"/>
  <c r="AF33" i="32" s="1"/>
  <c r="U33" i="32"/>
  <c r="AE33" i="32" s="1"/>
  <c r="A54" i="32"/>
  <c r="V54" i="32"/>
  <c r="AF54" i="32" s="1"/>
  <c r="U54" i="32"/>
  <c r="AE54" i="32" s="1"/>
  <c r="A35" i="32"/>
  <c r="U35" i="32"/>
  <c r="AE35" i="32" s="1"/>
  <c r="V35" i="32"/>
  <c r="AF35" i="32" s="1"/>
  <c r="A57" i="32"/>
  <c r="U57" i="32"/>
  <c r="AE57" i="32" s="1"/>
  <c r="V57" i="32"/>
  <c r="AF57" i="32" s="1"/>
  <c r="A52" i="32"/>
  <c r="V52" i="32"/>
  <c r="AF52" i="32" s="1"/>
  <c r="U52" i="32"/>
  <c r="AE52" i="32" s="1"/>
  <c r="A63" i="32"/>
  <c r="U63" i="32"/>
  <c r="AE63" i="32" s="1"/>
  <c r="V63" i="32"/>
  <c r="AF63" i="32" s="1"/>
  <c r="A69" i="32"/>
  <c r="V69" i="32"/>
  <c r="AF69" i="32" s="1"/>
  <c r="U69" i="32"/>
  <c r="AE69" i="32" s="1"/>
  <c r="A32" i="32"/>
  <c r="U32" i="32"/>
  <c r="AE32" i="32" s="1"/>
  <c r="V32" i="32"/>
  <c r="AF32" i="32" s="1"/>
  <c r="A68" i="32"/>
  <c r="V68" i="32"/>
  <c r="AF68" i="32" s="1"/>
  <c r="U68" i="32"/>
  <c r="AE68" i="32" s="1"/>
  <c r="A43" i="32"/>
  <c r="V43" i="32"/>
  <c r="AF43" i="32" s="1"/>
  <c r="U43" i="32"/>
  <c r="AE43" i="32" s="1"/>
  <c r="A39" i="32"/>
  <c r="V39" i="32"/>
  <c r="AF39" i="32" s="1"/>
  <c r="U39" i="32"/>
  <c r="AE39" i="32" s="1"/>
  <c r="A42" i="32"/>
  <c r="V42" i="32"/>
  <c r="AF42" i="32" s="1"/>
  <c r="U42" i="32"/>
  <c r="AE42" i="32" s="1"/>
  <c r="A60" i="32"/>
  <c r="V60" i="32"/>
  <c r="AF60" i="32" s="1"/>
  <c r="U60" i="32"/>
  <c r="AE60" i="32" s="1"/>
  <c r="A31" i="32"/>
  <c r="U31" i="32"/>
  <c r="AE31" i="32" s="1"/>
  <c r="V31" i="32"/>
  <c r="AF31" i="32" s="1"/>
  <c r="A66" i="32"/>
  <c r="V66" i="32"/>
  <c r="AF66" i="32" s="1"/>
  <c r="U66" i="32"/>
  <c r="AE66" i="32" s="1"/>
  <c r="A37" i="32"/>
  <c r="V37" i="32"/>
  <c r="AF37" i="32" s="1"/>
  <c r="U37" i="32"/>
  <c r="AE37" i="32" s="1"/>
  <c r="A38" i="32"/>
  <c r="U38" i="32"/>
  <c r="AE38" i="32" s="1"/>
  <c r="V38" i="32"/>
  <c r="AF38" i="32" s="1"/>
  <c r="A46" i="32"/>
  <c r="U46" i="32"/>
  <c r="AE46" i="32" s="1"/>
  <c r="V46" i="32"/>
  <c r="AF46" i="32" s="1"/>
  <c r="A64" i="32"/>
  <c r="U64" i="32"/>
  <c r="AE64" i="32" s="1"/>
  <c r="V64" i="32"/>
  <c r="AF64" i="32" s="1"/>
  <c r="A51" i="32"/>
  <c r="V51" i="32"/>
  <c r="AF51" i="32" s="1"/>
  <c r="U51" i="32"/>
  <c r="AE51" i="32" s="1"/>
  <c r="A65" i="32"/>
  <c r="V65" i="32"/>
  <c r="AF65" i="32" s="1"/>
  <c r="U65" i="32"/>
  <c r="AE65" i="32" s="1"/>
  <c r="A62" i="32"/>
  <c r="V62" i="32"/>
  <c r="AF62" i="32" s="1"/>
  <c r="U62" i="32"/>
  <c r="AE62" i="32" s="1"/>
  <c r="A59" i="32"/>
  <c r="V59" i="32"/>
  <c r="AF59" i="32" s="1"/>
  <c r="U59" i="32"/>
  <c r="AE59" i="32" s="1"/>
  <c r="A34" i="32"/>
  <c r="U34" i="32"/>
  <c r="AE34" i="32" s="1"/>
  <c r="V34" i="32"/>
  <c r="AF34" i="32" s="1"/>
  <c r="A61" i="32"/>
  <c r="U61" i="32"/>
  <c r="AE61" i="32" s="1"/>
  <c r="V61" i="32"/>
  <c r="AF61" i="32" s="1"/>
  <c r="A45" i="32"/>
  <c r="V45" i="32"/>
  <c r="AF45" i="32" s="1"/>
  <c r="U45" i="32"/>
  <c r="AE45" i="32" s="1"/>
  <c r="A67" i="32"/>
  <c r="V67" i="32"/>
  <c r="AF67" i="32" s="1"/>
  <c r="U67" i="32"/>
  <c r="AE67" i="32" s="1"/>
  <c r="A30" i="32"/>
  <c r="U30" i="32"/>
  <c r="AE30" i="32" s="1"/>
  <c r="V30" i="32"/>
  <c r="AF30" i="32" s="1"/>
  <c r="A53" i="32"/>
  <c r="V53" i="32"/>
  <c r="AF53" i="32" s="1"/>
  <c r="U53" i="32"/>
  <c r="AE53" i="32" s="1"/>
  <c r="A70" i="32"/>
  <c r="U70" i="32"/>
  <c r="AE70" i="32" s="1"/>
  <c r="V70" i="32"/>
  <c r="AF70" i="32" s="1"/>
  <c r="A41" i="32"/>
  <c r="U41" i="32"/>
  <c r="AE41" i="32" s="1"/>
  <c r="V41" i="32"/>
  <c r="AF41" i="32" s="1"/>
  <c r="A44" i="32"/>
  <c r="V44" i="32"/>
  <c r="AF44" i="32" s="1"/>
  <c r="U44" i="32"/>
  <c r="AE44" i="32" s="1"/>
  <c r="A47" i="32"/>
  <c r="U47" i="32"/>
  <c r="AE47" i="32" s="1"/>
  <c r="V47" i="32"/>
  <c r="AF47" i="32" s="1"/>
  <c r="A36" i="32"/>
  <c r="V36" i="32"/>
  <c r="AF36" i="32" s="1"/>
  <c r="U36" i="32"/>
  <c r="AE36" i="32" s="1"/>
  <c r="A48" i="32"/>
  <c r="U48" i="32"/>
  <c r="AE48" i="32" s="1"/>
  <c r="V48" i="32"/>
  <c r="AF48" i="32" s="1"/>
  <c r="A56" i="32"/>
  <c r="V56" i="32"/>
  <c r="AF56" i="32" s="1"/>
  <c r="U56" i="32"/>
  <c r="AE56" i="32" s="1"/>
  <c r="A58" i="32"/>
  <c r="V58" i="32"/>
  <c r="AF58" i="32" s="1"/>
  <c r="U58" i="32"/>
  <c r="AE58" i="32" s="1"/>
  <c r="A55" i="32"/>
  <c r="V55" i="32"/>
  <c r="AF55" i="32" s="1"/>
  <c r="U55" i="32"/>
  <c r="AE55" i="32" s="1"/>
  <c r="J22" i="32"/>
  <c r="I21" i="32"/>
  <c r="I22" i="32"/>
  <c r="H21" i="32"/>
  <c r="H22" i="32"/>
  <c r="J21" i="32"/>
  <c r="G22" i="32"/>
  <c r="G21" i="32"/>
  <c r="H19" i="32"/>
  <c r="G16" i="32"/>
  <c r="H18" i="32"/>
  <c r="H16" i="32"/>
  <c r="G20" i="32"/>
  <c r="H15" i="32"/>
  <c r="I13" i="32"/>
  <c r="G19" i="32"/>
  <c r="G17" i="32"/>
  <c r="I18" i="32"/>
  <c r="G15" i="32"/>
  <c r="H14" i="32"/>
  <c r="H17" i="32"/>
  <c r="H13" i="32"/>
  <c r="I17" i="32"/>
  <c r="G13" i="32"/>
  <c r="I14" i="32"/>
  <c r="I20" i="32"/>
  <c r="G18" i="32"/>
  <c r="G14" i="32"/>
  <c r="I15" i="32"/>
  <c r="I19" i="32"/>
  <c r="I16" i="32"/>
  <c r="H20" i="32"/>
  <c r="AJ11" i="32"/>
  <c r="L11" i="32"/>
  <c r="AF12" i="32"/>
  <c r="H12" i="32"/>
  <c r="AH12" i="32"/>
  <c r="J12" i="32"/>
  <c r="AE11" i="32"/>
  <c r="G11" i="32"/>
  <c r="AI12" i="32"/>
  <c r="K12" i="32"/>
  <c r="AJ12" i="32"/>
  <c r="L12" i="32"/>
  <c r="AI11" i="32"/>
  <c r="K11" i="32"/>
  <c r="AH11" i="32"/>
  <c r="J11" i="32"/>
  <c r="AG12" i="32"/>
  <c r="I12" i="32"/>
  <c r="AF11" i="32"/>
  <c r="H11" i="32"/>
  <c r="AE12" i="32"/>
  <c r="G12" i="32"/>
  <c r="AG11" i="32"/>
  <c r="I11" i="32"/>
  <c r="AI10" i="32"/>
  <c r="K10" i="32"/>
  <c r="AH10" i="32"/>
  <c r="J10" i="32"/>
  <c r="AJ10" i="32"/>
  <c r="L10" i="32"/>
  <c r="AG10" i="32"/>
  <c r="I10" i="32"/>
  <c r="AF10" i="32"/>
  <c r="H10" i="32"/>
  <c r="AE10" i="32"/>
  <c r="G10" i="32"/>
  <c r="AE9" i="32"/>
  <c r="U20" i="33"/>
  <c r="W20" i="33"/>
  <c r="U17" i="33"/>
  <c r="V12" i="33"/>
  <c r="W21" i="33"/>
  <c r="V15" i="33"/>
  <c r="V11" i="33"/>
  <c r="U19" i="33"/>
  <c r="V10" i="33"/>
  <c r="V21" i="33"/>
  <c r="V19" i="33"/>
  <c r="Z12" i="33"/>
  <c r="V20" i="33"/>
  <c r="U9" i="33"/>
  <c r="V18" i="33"/>
  <c r="W17" i="33"/>
  <c r="V22" i="33"/>
  <c r="W10" i="33"/>
  <c r="V23" i="33"/>
  <c r="Y21" i="33"/>
  <c r="U21" i="33"/>
  <c r="W18" i="33"/>
  <c r="W13" i="33"/>
  <c r="Z23" i="33"/>
  <c r="W12" i="33"/>
  <c r="U12" i="33"/>
  <c r="Y22" i="33"/>
  <c r="U16" i="33"/>
  <c r="U10" i="33"/>
  <c r="V16" i="33"/>
  <c r="Y11" i="33"/>
  <c r="Z11" i="33"/>
  <c r="W11" i="33"/>
  <c r="U15" i="33"/>
  <c r="W22" i="33"/>
  <c r="V14" i="33"/>
  <c r="V17" i="33"/>
  <c r="V13" i="33"/>
  <c r="Y23" i="33"/>
  <c r="X10" i="33"/>
  <c r="Z10" i="33"/>
  <c r="X21" i="33"/>
  <c r="U13" i="33"/>
  <c r="W14" i="33"/>
  <c r="X11" i="33"/>
  <c r="U18" i="33"/>
  <c r="X23" i="33"/>
  <c r="U22" i="33"/>
  <c r="U14" i="33"/>
  <c r="X12" i="33"/>
  <c r="U11" i="33"/>
  <c r="Y12" i="33"/>
  <c r="X22" i="33"/>
  <c r="Y10" i="33"/>
  <c r="U23" i="33"/>
  <c r="W15" i="33"/>
  <c r="W19" i="33"/>
  <c r="W23" i="33"/>
  <c r="W16" i="33"/>
  <c r="Y1" i="20"/>
  <c r="T45" i="34" l="1"/>
  <c r="Y12" i="34"/>
  <c r="X10" i="34"/>
  <c r="U16" i="34"/>
  <c r="W17" i="34"/>
  <c r="V12" i="34"/>
  <c r="T56" i="34"/>
  <c r="T34" i="34"/>
  <c r="T42" i="34"/>
  <c r="T40" i="34"/>
  <c r="W14" i="34"/>
  <c r="Y11" i="34"/>
  <c r="W21" i="34"/>
  <c r="U17" i="34"/>
  <c r="T59" i="34"/>
  <c r="U19" i="34"/>
  <c r="T30" i="34"/>
  <c r="T37" i="34"/>
  <c r="T57" i="34"/>
  <c r="U10" i="34"/>
  <c r="T39" i="34"/>
  <c r="X12" i="34"/>
  <c r="V13" i="34"/>
  <c r="U12" i="34"/>
  <c r="U9" i="34"/>
  <c r="W20" i="34"/>
  <c r="T36" i="34"/>
  <c r="T62" i="34"/>
  <c r="T43" i="34"/>
  <c r="Z11" i="34"/>
  <c r="U23" i="34"/>
  <c r="Z10" i="34"/>
  <c r="V18" i="34"/>
  <c r="T48" i="34"/>
  <c r="U14" i="34"/>
  <c r="V17" i="34"/>
  <c r="W12" i="34"/>
  <c r="V20" i="34"/>
  <c r="U20" i="34"/>
  <c r="T47" i="34"/>
  <c r="T65" i="34"/>
  <c r="T68" i="34"/>
  <c r="W15" i="34"/>
  <c r="V11" i="34"/>
  <c r="T35" i="34"/>
  <c r="T55" i="34"/>
  <c r="T31" i="34"/>
  <c r="X22" i="34"/>
  <c r="T61" i="34"/>
  <c r="U22" i="34"/>
  <c r="Z12" i="34"/>
  <c r="T44" i="34"/>
  <c r="T51" i="34"/>
  <c r="T32" i="34"/>
  <c r="U13" i="34"/>
  <c r="T67" i="34"/>
  <c r="Y10" i="34"/>
  <c r="V22" i="34"/>
  <c r="T58" i="34"/>
  <c r="T60" i="34"/>
  <c r="T33" i="34"/>
  <c r="U11" i="34"/>
  <c r="W16" i="34"/>
  <c r="W22" i="34"/>
  <c r="W13" i="34"/>
  <c r="V19" i="34"/>
  <c r="T41" i="34"/>
  <c r="T64" i="34"/>
  <c r="T69" i="34"/>
  <c r="T66" i="34"/>
  <c r="V16" i="34"/>
  <c r="T54" i="34"/>
  <c r="U18" i="34"/>
  <c r="U15" i="34"/>
  <c r="W18" i="34"/>
  <c r="V21" i="34"/>
  <c r="T70" i="34"/>
  <c r="T46" i="34"/>
  <c r="T63" i="34"/>
  <c r="X21" i="34"/>
  <c r="W10" i="34"/>
  <c r="W19" i="34"/>
  <c r="X11" i="34"/>
  <c r="W11" i="34"/>
  <c r="U21" i="34"/>
  <c r="V10" i="34"/>
  <c r="T53" i="34"/>
  <c r="T38" i="34"/>
  <c r="T52" i="34"/>
  <c r="V15" i="34"/>
  <c r="V14" i="34"/>
  <c r="AJ23" i="33"/>
  <c r="Z23" i="34"/>
  <c r="K21" i="33"/>
  <c r="Y21" i="34"/>
  <c r="AR21" i="34" s="1"/>
  <c r="AI23" i="33"/>
  <c r="Y23" i="34"/>
  <c r="K22" i="33"/>
  <c r="Y22" i="34"/>
  <c r="AR22" i="34" s="1"/>
  <c r="AH23" i="33"/>
  <c r="X23" i="34"/>
  <c r="AG23" i="33"/>
  <c r="W23" i="34"/>
  <c r="AF23" i="33"/>
  <c r="V23" i="34"/>
  <c r="AE23" i="33"/>
  <c r="G9" i="33"/>
  <c r="A43" i="33"/>
  <c r="U43" i="33"/>
  <c r="AE43" i="33" s="1"/>
  <c r="V43" i="33"/>
  <c r="AF43" i="33" s="1"/>
  <c r="A48" i="33"/>
  <c r="V48" i="33"/>
  <c r="AF48" i="33" s="1"/>
  <c r="U48" i="33"/>
  <c r="AE48" i="33" s="1"/>
  <c r="A59" i="33"/>
  <c r="U59" i="33"/>
  <c r="AE59" i="33" s="1"/>
  <c r="V59" i="33"/>
  <c r="AF59" i="33" s="1"/>
  <c r="A39" i="33"/>
  <c r="V39" i="33"/>
  <c r="AF39" i="33" s="1"/>
  <c r="U39" i="33"/>
  <c r="AE39" i="33" s="1"/>
  <c r="A62" i="33"/>
  <c r="V62" i="33"/>
  <c r="AF62" i="33" s="1"/>
  <c r="U62" i="33"/>
  <c r="AE62" i="33" s="1"/>
  <c r="A44" i="33"/>
  <c r="U44" i="33"/>
  <c r="AE44" i="33" s="1"/>
  <c r="V44" i="33"/>
  <c r="AF44" i="33" s="1"/>
  <c r="A51" i="33"/>
  <c r="V51" i="33"/>
  <c r="AF51" i="33" s="1"/>
  <c r="U51" i="33"/>
  <c r="AE51" i="33" s="1"/>
  <c r="A32" i="33"/>
  <c r="U32" i="33"/>
  <c r="AE32" i="33" s="1"/>
  <c r="V32" i="33"/>
  <c r="AF32" i="33" s="1"/>
  <c r="A41" i="33"/>
  <c r="U41" i="33"/>
  <c r="AE41" i="33" s="1"/>
  <c r="V41" i="33"/>
  <c r="AF41" i="33" s="1"/>
  <c r="A64" i="33"/>
  <c r="V64" i="33"/>
  <c r="AF64" i="33" s="1"/>
  <c r="U64" i="33"/>
  <c r="AE64" i="33" s="1"/>
  <c r="A69" i="33"/>
  <c r="U69" i="33"/>
  <c r="AE69" i="33" s="1"/>
  <c r="V69" i="33"/>
  <c r="AF69" i="33" s="1"/>
  <c r="A70" i="33"/>
  <c r="V70" i="33"/>
  <c r="AF70" i="33" s="1"/>
  <c r="U70" i="33"/>
  <c r="AE70" i="33" s="1"/>
  <c r="A46" i="33"/>
  <c r="U46" i="33"/>
  <c r="AE46" i="33" s="1"/>
  <c r="V46" i="33"/>
  <c r="AF46" i="33" s="1"/>
  <c r="A63" i="33"/>
  <c r="V63" i="33"/>
  <c r="AF63" i="33" s="1"/>
  <c r="U63" i="33"/>
  <c r="AE63" i="33" s="1"/>
  <c r="A53" i="33"/>
  <c r="U53" i="33"/>
  <c r="AE53" i="33" s="1"/>
  <c r="V53" i="33"/>
  <c r="AF53" i="33" s="1"/>
  <c r="A38" i="33"/>
  <c r="V38" i="33"/>
  <c r="AF38" i="33" s="1"/>
  <c r="U38" i="33"/>
  <c r="AE38" i="33" s="1"/>
  <c r="A52" i="33"/>
  <c r="V52" i="33"/>
  <c r="AF52" i="33" s="1"/>
  <c r="U52" i="33"/>
  <c r="AE52" i="33" s="1"/>
  <c r="A68" i="33"/>
  <c r="V68" i="33"/>
  <c r="AF68" i="33" s="1"/>
  <c r="U68" i="33"/>
  <c r="AE68" i="33" s="1"/>
  <c r="A30" i="33"/>
  <c r="V30" i="33"/>
  <c r="AF30" i="33" s="1"/>
  <c r="U30" i="33"/>
  <c r="AE30" i="33" s="1"/>
  <c r="A37" i="33"/>
  <c r="U37" i="33"/>
  <c r="AE37" i="33" s="1"/>
  <c r="V37" i="33"/>
  <c r="AF37" i="33" s="1"/>
  <c r="A57" i="33"/>
  <c r="V57" i="33"/>
  <c r="AF57" i="33" s="1"/>
  <c r="U57" i="33"/>
  <c r="AE57" i="33" s="1"/>
  <c r="A36" i="33"/>
  <c r="V36" i="33"/>
  <c r="AF36" i="33" s="1"/>
  <c r="U36" i="33"/>
  <c r="AE36" i="33" s="1"/>
  <c r="A67" i="33"/>
  <c r="V67" i="33"/>
  <c r="AF67" i="33" s="1"/>
  <c r="U67" i="33"/>
  <c r="AE67" i="33" s="1"/>
  <c r="A66" i="33"/>
  <c r="V66" i="33"/>
  <c r="AF66" i="33" s="1"/>
  <c r="U66" i="33"/>
  <c r="AE66" i="33" s="1"/>
  <c r="A35" i="33"/>
  <c r="U35" i="33"/>
  <c r="AE35" i="33" s="1"/>
  <c r="V35" i="33"/>
  <c r="AF35" i="33" s="1"/>
  <c r="A47" i="33"/>
  <c r="U47" i="33"/>
  <c r="AE47" i="33" s="1"/>
  <c r="V47" i="33"/>
  <c r="AF47" i="33" s="1"/>
  <c r="A55" i="33"/>
  <c r="V55" i="33"/>
  <c r="AF55" i="33" s="1"/>
  <c r="U55" i="33"/>
  <c r="AE55" i="33" s="1"/>
  <c r="A45" i="33"/>
  <c r="V45" i="33"/>
  <c r="AF45" i="33" s="1"/>
  <c r="U45" i="33"/>
  <c r="AE45" i="33" s="1"/>
  <c r="A31" i="33"/>
  <c r="V31" i="33"/>
  <c r="AF31" i="33" s="1"/>
  <c r="U31" i="33"/>
  <c r="AE31" i="33" s="1"/>
  <c r="A54" i="33"/>
  <c r="V54" i="33"/>
  <c r="AF54" i="33" s="1"/>
  <c r="U54" i="33"/>
  <c r="AE54" i="33" s="1"/>
  <c r="A58" i="33"/>
  <c r="V58" i="33"/>
  <c r="AF58" i="33" s="1"/>
  <c r="U58" i="33"/>
  <c r="AE58" i="33" s="1"/>
  <c r="A61" i="33"/>
  <c r="V61" i="33"/>
  <c r="AF61" i="33" s="1"/>
  <c r="U61" i="33"/>
  <c r="AE61" i="33" s="1"/>
  <c r="A60" i="33"/>
  <c r="V60" i="33"/>
  <c r="AF60" i="33" s="1"/>
  <c r="U60" i="33"/>
  <c r="AE60" i="33" s="1"/>
  <c r="A33" i="33"/>
  <c r="U33" i="33"/>
  <c r="AE33" i="33" s="1"/>
  <c r="V33" i="33"/>
  <c r="AF33" i="33" s="1"/>
  <c r="A65" i="33"/>
  <c r="V65" i="33"/>
  <c r="AF65" i="33" s="1"/>
  <c r="U65" i="33"/>
  <c r="AE65" i="33" s="1"/>
  <c r="A56" i="33"/>
  <c r="V56" i="33"/>
  <c r="AF56" i="33" s="1"/>
  <c r="U56" i="33"/>
  <c r="AE56" i="33" s="1"/>
  <c r="A34" i="33"/>
  <c r="U34" i="33"/>
  <c r="AE34" i="33" s="1"/>
  <c r="V34" i="33"/>
  <c r="AF34" i="33" s="1"/>
  <c r="A42" i="33"/>
  <c r="U42" i="33"/>
  <c r="AE42" i="33" s="1"/>
  <c r="V42" i="33"/>
  <c r="AF42" i="33" s="1"/>
  <c r="A40" i="33"/>
  <c r="U40" i="33"/>
  <c r="AE40" i="33" s="1"/>
  <c r="V40" i="33"/>
  <c r="AF40" i="33" s="1"/>
  <c r="AE22" i="33"/>
  <c r="G22" i="33"/>
  <c r="AH21" i="33"/>
  <c r="J21" i="33"/>
  <c r="AE21" i="33"/>
  <c r="G21" i="33"/>
  <c r="AF22" i="33"/>
  <c r="H22" i="33"/>
  <c r="AG21" i="33"/>
  <c r="I21" i="33"/>
  <c r="AF21" i="33"/>
  <c r="H21" i="33"/>
  <c r="AH22" i="33"/>
  <c r="J22" i="33"/>
  <c r="AG22" i="33"/>
  <c r="I22" i="33"/>
  <c r="AE18" i="33"/>
  <c r="G18" i="33"/>
  <c r="AG13" i="33"/>
  <c r="I13" i="33"/>
  <c r="AF17" i="33"/>
  <c r="H17" i="33"/>
  <c r="AE16" i="33"/>
  <c r="G16" i="33"/>
  <c r="AE14" i="33"/>
  <c r="G14" i="33"/>
  <c r="AE19" i="33"/>
  <c r="G19" i="33"/>
  <c r="AG16" i="33"/>
  <c r="I16" i="33"/>
  <c r="AF13" i="33"/>
  <c r="H13" i="33"/>
  <c r="AG20" i="33"/>
  <c r="I20" i="33"/>
  <c r="AF14" i="33"/>
  <c r="H14" i="33"/>
  <c r="AG18" i="33"/>
  <c r="I18" i="33"/>
  <c r="AE15" i="33"/>
  <c r="G15" i="33"/>
  <c r="AF20" i="33"/>
  <c r="H20" i="33"/>
  <c r="AF15" i="33"/>
  <c r="H15" i="33"/>
  <c r="AE13" i="33"/>
  <c r="G13" i="33"/>
  <c r="AF16" i="33"/>
  <c r="H16" i="33"/>
  <c r="AG17" i="33"/>
  <c r="I17" i="33"/>
  <c r="AE20" i="33"/>
  <c r="G20" i="33"/>
  <c r="AG14" i="33"/>
  <c r="I14" i="33"/>
  <c r="AE17" i="33"/>
  <c r="G17" i="33"/>
  <c r="AG19" i="33"/>
  <c r="I19" i="33"/>
  <c r="AG15" i="33"/>
  <c r="I15" i="33"/>
  <c r="AF18" i="33"/>
  <c r="H18" i="33"/>
  <c r="AF19" i="33"/>
  <c r="H19" i="33"/>
  <c r="AF12" i="33"/>
  <c r="H12" i="33"/>
  <c r="AH11" i="33"/>
  <c r="J11" i="33"/>
  <c r="AF11" i="33"/>
  <c r="H11" i="33"/>
  <c r="AI12" i="33"/>
  <c r="K12" i="33"/>
  <c r="AG11" i="33"/>
  <c r="I11" i="33"/>
  <c r="AJ11" i="33"/>
  <c r="L11" i="33"/>
  <c r="AI11" i="33"/>
  <c r="K11" i="33"/>
  <c r="AE12" i="33"/>
  <c r="G12" i="33"/>
  <c r="AE11" i="33"/>
  <c r="G11" i="33"/>
  <c r="AH12" i="33"/>
  <c r="J12" i="33"/>
  <c r="AG12" i="33"/>
  <c r="I12" i="33"/>
  <c r="AJ12" i="33"/>
  <c r="L12" i="33"/>
  <c r="AJ10" i="33"/>
  <c r="L10" i="33"/>
  <c r="AI10" i="33"/>
  <c r="K10" i="33"/>
  <c r="AG10" i="33"/>
  <c r="I10" i="33"/>
  <c r="AF10" i="33"/>
  <c r="H10" i="33"/>
  <c r="AH10" i="33"/>
  <c r="J10" i="33"/>
  <c r="AE10" i="33"/>
  <c r="G10" i="33"/>
  <c r="AE9" i="33"/>
  <c r="C13" i="24"/>
  <c r="I13" i="24" s="1"/>
  <c r="I12" i="24"/>
  <c r="I11" i="24"/>
  <c r="I10" i="24"/>
  <c r="I9" i="24"/>
  <c r="I8" i="24"/>
  <c r="T54" i="35" l="1"/>
  <c r="T60" i="35"/>
  <c r="U12" i="35"/>
  <c r="U12" i="36" s="1"/>
  <c r="T58" i="35"/>
  <c r="T31" i="35"/>
  <c r="T31" i="36" s="1"/>
  <c r="AA31" i="36" s="1"/>
  <c r="U14" i="35"/>
  <c r="U14" i="36" s="1"/>
  <c r="T66" i="35"/>
  <c r="T55" i="35"/>
  <c r="T48" i="35"/>
  <c r="T40" i="35"/>
  <c r="T69" i="35"/>
  <c r="T42" i="35"/>
  <c r="T35" i="35"/>
  <c r="T39" i="35"/>
  <c r="T64" i="35"/>
  <c r="T67" i="35"/>
  <c r="U10" i="35"/>
  <c r="U10" i="36" s="1"/>
  <c r="T34" i="35"/>
  <c r="T34" i="36" s="1"/>
  <c r="AA34" i="36" s="1"/>
  <c r="T63" i="35"/>
  <c r="T41" i="35"/>
  <c r="U13" i="35"/>
  <c r="U13" i="36" s="1"/>
  <c r="U23" i="35"/>
  <c r="U23" i="36" s="1"/>
  <c r="T57" i="35"/>
  <c r="T56" i="35"/>
  <c r="T46" i="35"/>
  <c r="T32" i="35"/>
  <c r="T32" i="36" s="1"/>
  <c r="AA32" i="36" s="1"/>
  <c r="T68" i="35"/>
  <c r="T37" i="35"/>
  <c r="T51" i="35"/>
  <c r="T65" i="35"/>
  <c r="T43" i="35"/>
  <c r="T38" i="35"/>
  <c r="T44" i="35"/>
  <c r="T62" i="35"/>
  <c r="U19" i="35"/>
  <c r="U19" i="36" s="1"/>
  <c r="U16" i="35"/>
  <c r="U16" i="36" s="1"/>
  <c r="T47" i="35"/>
  <c r="T53" i="35"/>
  <c r="U20" i="35"/>
  <c r="U20" i="36" s="1"/>
  <c r="T36" i="35"/>
  <c r="T59" i="35"/>
  <c r="T52" i="35"/>
  <c r="T70" i="35"/>
  <c r="U15" i="35"/>
  <c r="U15" i="36" s="1"/>
  <c r="U11" i="35"/>
  <c r="U11" i="36" s="1"/>
  <c r="U22" i="35"/>
  <c r="U22" i="36" s="1"/>
  <c r="U17" i="35"/>
  <c r="U17" i="36" s="1"/>
  <c r="U21" i="35"/>
  <c r="U21" i="36" s="1"/>
  <c r="U18" i="35"/>
  <c r="U18" i="36" s="1"/>
  <c r="T33" i="35"/>
  <c r="T33" i="36" s="1"/>
  <c r="AA33" i="36" s="1"/>
  <c r="T61" i="35"/>
  <c r="U9" i="35"/>
  <c r="U9" i="36" s="1"/>
  <c r="T45" i="35"/>
  <c r="AA30" i="34"/>
  <c r="T30" i="35"/>
  <c r="T30" i="36" s="1"/>
  <c r="AA30" i="36" s="1"/>
  <c r="AA16" i="34"/>
  <c r="AC23" i="34"/>
  <c r="W23" i="35"/>
  <c r="AB14" i="34"/>
  <c r="V14" i="35"/>
  <c r="AB15" i="34"/>
  <c r="V15" i="35"/>
  <c r="AC21" i="34"/>
  <c r="W21" i="35"/>
  <c r="AB12" i="34"/>
  <c r="V12" i="35"/>
  <c r="AB20" i="34"/>
  <c r="V20" i="35"/>
  <c r="AB19" i="34"/>
  <c r="V19" i="35"/>
  <c r="AB11" i="34"/>
  <c r="V11" i="35"/>
  <c r="AE11" i="34"/>
  <c r="Y11" i="35"/>
  <c r="AE22" i="34"/>
  <c r="Y22" i="35"/>
  <c r="AR22" i="35" s="1"/>
  <c r="AC13" i="34"/>
  <c r="W13" i="35"/>
  <c r="AF12" i="34"/>
  <c r="Z12" i="35"/>
  <c r="AC15" i="34"/>
  <c r="W15" i="35"/>
  <c r="AC17" i="34"/>
  <c r="W17" i="35"/>
  <c r="AB22" i="34"/>
  <c r="V22" i="35"/>
  <c r="AC20" i="34"/>
  <c r="W20" i="35"/>
  <c r="AC14" i="34"/>
  <c r="W14" i="35"/>
  <c r="AC12" i="34"/>
  <c r="W12" i="35"/>
  <c r="AD23" i="34"/>
  <c r="X23" i="35"/>
  <c r="AB16" i="34"/>
  <c r="V16" i="35"/>
  <c r="AE23" i="34"/>
  <c r="Y23" i="35"/>
  <c r="AB18" i="34"/>
  <c r="V18" i="35"/>
  <c r="AD21" i="34"/>
  <c r="X21" i="35"/>
  <c r="AC16" i="34"/>
  <c r="W16" i="35"/>
  <c r="AE12" i="34"/>
  <c r="Y12" i="35"/>
  <c r="AD22" i="34"/>
  <c r="X22" i="35"/>
  <c r="AB13" i="34"/>
  <c r="V13" i="35"/>
  <c r="AE21" i="34"/>
  <c r="Y21" i="35"/>
  <c r="AR21" i="35" s="1"/>
  <c r="AD12" i="34"/>
  <c r="X12" i="35"/>
  <c r="AD11" i="34"/>
  <c r="X11" i="35"/>
  <c r="AC19" i="34"/>
  <c r="W19" i="35"/>
  <c r="AB17" i="34"/>
  <c r="V17" i="35"/>
  <c r="AC22" i="34"/>
  <c r="W22" i="35"/>
  <c r="AB23" i="34"/>
  <c r="V23" i="35"/>
  <c r="Z23" i="35"/>
  <c r="AC11" i="34"/>
  <c r="W11" i="35"/>
  <c r="AB21" i="34"/>
  <c r="V21" i="35"/>
  <c r="AF11" i="34"/>
  <c r="Z11" i="35"/>
  <c r="AC18" i="34"/>
  <c r="W18" i="35"/>
  <c r="AD10" i="34"/>
  <c r="X10" i="35"/>
  <c r="AC10" i="34"/>
  <c r="W10" i="35"/>
  <c r="AF10" i="34"/>
  <c r="Z10" i="35"/>
  <c r="AE10" i="34"/>
  <c r="Y10" i="35"/>
  <c r="AB10" i="34"/>
  <c r="V10" i="35"/>
  <c r="AA23" i="34"/>
  <c r="AA13" i="34"/>
  <c r="AA14" i="34"/>
  <c r="AA15" i="34"/>
  <c r="AA17" i="34"/>
  <c r="AA12" i="34"/>
  <c r="AO19" i="34"/>
  <c r="AA19" i="34"/>
  <c r="AA21" i="34"/>
  <c r="AP22" i="34"/>
  <c r="AA11" i="34"/>
  <c r="AO20" i="34"/>
  <c r="AA18" i="34"/>
  <c r="AA20" i="34"/>
  <c r="AQ21" i="34"/>
  <c r="I12" i="34"/>
  <c r="AO18" i="34"/>
  <c r="AA10" i="34"/>
  <c r="AA22" i="34"/>
  <c r="AQ22" i="34"/>
  <c r="AN9" i="34"/>
  <c r="AA9" i="34"/>
  <c r="J22" i="34"/>
  <c r="J21" i="34"/>
  <c r="I22" i="34"/>
  <c r="H20" i="34"/>
  <c r="AP17" i="34"/>
  <c r="AP18" i="34"/>
  <c r="AP21" i="34"/>
  <c r="AP19" i="34"/>
  <c r="AP20" i="34"/>
  <c r="AP16" i="34"/>
  <c r="H17" i="34"/>
  <c r="H16" i="34"/>
  <c r="H22" i="34"/>
  <c r="H19" i="34"/>
  <c r="H21" i="34"/>
  <c r="H18" i="34"/>
  <c r="H15" i="34"/>
  <c r="AP15" i="34"/>
  <c r="AP14" i="34"/>
  <c r="H14" i="34"/>
  <c r="AO13" i="34"/>
  <c r="AP13" i="34"/>
  <c r="AP11" i="34"/>
  <c r="AP12" i="34"/>
  <c r="J12" i="34"/>
  <c r="AQ11" i="34"/>
  <c r="AQ10" i="34"/>
  <c r="AP10" i="34"/>
  <c r="AO23" i="34"/>
  <c r="AP23" i="34"/>
  <c r="AQ23" i="34"/>
  <c r="AR23" i="34"/>
  <c r="AS23" i="34"/>
  <c r="K22" i="34"/>
  <c r="K21" i="34"/>
  <c r="H12" i="34"/>
  <c r="AO10" i="34"/>
  <c r="AO11" i="34"/>
  <c r="H10" i="34"/>
  <c r="AO12" i="34"/>
  <c r="H11" i="34"/>
  <c r="G13" i="34"/>
  <c r="G12" i="34"/>
  <c r="G17" i="34"/>
  <c r="G11" i="34"/>
  <c r="G18" i="34"/>
  <c r="AN21" i="34"/>
  <c r="AN16" i="34"/>
  <c r="G9" i="34"/>
  <c r="G10" i="34"/>
  <c r="AN20" i="34"/>
  <c r="G15" i="34"/>
  <c r="G14" i="34"/>
  <c r="G22" i="34"/>
  <c r="G19" i="34"/>
  <c r="AA40" i="34"/>
  <c r="AA55" i="34"/>
  <c r="AA58" i="34"/>
  <c r="AA56" i="34"/>
  <c r="AA48" i="34"/>
  <c r="AA36" i="34"/>
  <c r="AA47" i="34"/>
  <c r="AA44" i="34"/>
  <c r="AA62" i="34"/>
  <c r="AA41" i="34"/>
  <c r="AA70" i="34"/>
  <c r="AA53" i="34"/>
  <c r="AA67" i="34"/>
  <c r="AA61" i="34"/>
  <c r="AA59" i="34"/>
  <c r="AA65" i="34"/>
  <c r="AA68" i="34"/>
  <c r="AA52" i="34"/>
  <c r="AA66" i="34"/>
  <c r="AA35" i="34"/>
  <c r="AA45" i="34"/>
  <c r="AA32" i="34"/>
  <c r="AA69" i="34"/>
  <c r="AA57" i="34"/>
  <c r="AA64" i="34"/>
  <c r="AA46" i="34"/>
  <c r="AA38" i="34"/>
  <c r="AA31" i="34"/>
  <c r="AA60" i="34"/>
  <c r="AA42" i="34"/>
  <c r="AA39" i="34"/>
  <c r="AA37" i="34"/>
  <c r="AA51" i="34"/>
  <c r="AA43" i="34"/>
  <c r="AA63" i="34"/>
  <c r="AA54" i="34"/>
  <c r="AA33" i="34"/>
  <c r="AN23" i="34"/>
  <c r="AA34" i="34"/>
  <c r="A66" i="20"/>
  <c r="A63" i="20"/>
  <c r="A61" i="20"/>
  <c r="A65" i="20"/>
  <c r="A64" i="20"/>
  <c r="A62" i="20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V69" i="35" l="1"/>
  <c r="T69" i="36"/>
  <c r="U69" i="36" s="1"/>
  <c r="U57" i="35"/>
  <c r="AN57" i="35" s="1"/>
  <c r="T57" i="36"/>
  <c r="AA57" i="36" s="1"/>
  <c r="U62" i="35"/>
  <c r="AN62" i="35" s="1"/>
  <c r="T62" i="36"/>
  <c r="AA62" i="36" s="1"/>
  <c r="A55" i="35"/>
  <c r="T55" i="36"/>
  <c r="AA55" i="36" s="1"/>
  <c r="A56" i="35"/>
  <c r="T56" i="36"/>
  <c r="AA56" i="36" s="1"/>
  <c r="AA70" i="35"/>
  <c r="T70" i="36"/>
  <c r="V70" i="36" s="1"/>
  <c r="A63" i="35"/>
  <c r="T63" i="36"/>
  <c r="U63" i="36" s="1"/>
  <c r="V66" i="35"/>
  <c r="T66" i="36"/>
  <c r="V66" i="36" s="1"/>
  <c r="AA59" i="35"/>
  <c r="T59" i="36"/>
  <c r="AA59" i="36" s="1"/>
  <c r="AA65" i="35"/>
  <c r="T65" i="36"/>
  <c r="V65" i="36" s="1"/>
  <c r="V67" i="35"/>
  <c r="AO67" i="35" s="1"/>
  <c r="T67" i="36"/>
  <c r="AA67" i="36" s="1"/>
  <c r="AA58" i="35"/>
  <c r="T58" i="36"/>
  <c r="A58" i="36" s="1"/>
  <c r="AA61" i="35"/>
  <c r="T61" i="36"/>
  <c r="AA61" i="36" s="1"/>
  <c r="U68" i="35"/>
  <c r="AN68" i="35" s="1"/>
  <c r="T68" i="36"/>
  <c r="U68" i="36" s="1"/>
  <c r="AA64" i="35"/>
  <c r="T64" i="36"/>
  <c r="AA64" i="36" s="1"/>
  <c r="U52" i="35"/>
  <c r="AN52" i="35" s="1"/>
  <c r="T52" i="36"/>
  <c r="A52" i="36" s="1"/>
  <c r="AA53" i="35"/>
  <c r="T53" i="36"/>
  <c r="AA53" i="36" s="1"/>
  <c r="V60" i="35"/>
  <c r="AO60" i="35" s="1"/>
  <c r="T60" i="36"/>
  <c r="A60" i="36" s="1"/>
  <c r="AA54" i="35"/>
  <c r="T54" i="36"/>
  <c r="AA54" i="36" s="1"/>
  <c r="AA51" i="35"/>
  <c r="T51" i="36"/>
  <c r="A51" i="36" s="1"/>
  <c r="AA69" i="36"/>
  <c r="AA12" i="35"/>
  <c r="G13" i="35"/>
  <c r="AA46" i="35"/>
  <c r="T46" i="36"/>
  <c r="AA46" i="36" s="1"/>
  <c r="AA44" i="35"/>
  <c r="T44" i="36"/>
  <c r="AA38" i="35"/>
  <c r="T38" i="36"/>
  <c r="AA38" i="36" s="1"/>
  <c r="AA43" i="35"/>
  <c r="T43" i="36"/>
  <c r="A36" i="35"/>
  <c r="T36" i="36"/>
  <c r="AA36" i="36" s="1"/>
  <c r="AA39" i="35"/>
  <c r="T39" i="36"/>
  <c r="AA39" i="36" s="1"/>
  <c r="U31" i="35"/>
  <c r="AN31" i="35" s="1"/>
  <c r="AA45" i="35"/>
  <c r="T45" i="36"/>
  <c r="A45" i="36" s="1"/>
  <c r="AA42" i="35"/>
  <c r="T42" i="36"/>
  <c r="AA42" i="36" s="1"/>
  <c r="AA41" i="35"/>
  <c r="T41" i="36"/>
  <c r="AA41" i="36" s="1"/>
  <c r="A32" i="35"/>
  <c r="A32" i="36"/>
  <c r="A33" i="35"/>
  <c r="U33" i="36"/>
  <c r="AA35" i="35"/>
  <c r="T35" i="36"/>
  <c r="V35" i="36" s="1"/>
  <c r="A47" i="35"/>
  <c r="T47" i="36"/>
  <c r="AA37" i="35"/>
  <c r="T37" i="36"/>
  <c r="A40" i="35"/>
  <c r="T40" i="36"/>
  <c r="AA40" i="36" s="1"/>
  <c r="A34" i="35"/>
  <c r="V34" i="36"/>
  <c r="V48" i="35"/>
  <c r="AO48" i="35" s="1"/>
  <c r="T48" i="36"/>
  <c r="U55" i="35"/>
  <c r="AN55" i="35" s="1"/>
  <c r="AA30" i="35"/>
  <c r="AD11" i="35"/>
  <c r="X11" i="36"/>
  <c r="AD11" i="36" s="1"/>
  <c r="AF12" i="35"/>
  <c r="Z12" i="36"/>
  <c r="AF12" i="36" s="1"/>
  <c r="AF10" i="35"/>
  <c r="Z10" i="36"/>
  <c r="AF10" i="36" s="1"/>
  <c r="AO12" i="35"/>
  <c r="V12" i="36"/>
  <c r="AB12" i="36" s="1"/>
  <c r="AP10" i="35"/>
  <c r="W10" i="36"/>
  <c r="AS23" i="35"/>
  <c r="Z23" i="36"/>
  <c r="AS23" i="36" s="1"/>
  <c r="AB21" i="35"/>
  <c r="V21" i="36"/>
  <c r="AB21" i="36" s="1"/>
  <c r="I16" i="35"/>
  <c r="W16" i="36"/>
  <c r="AC16" i="36" s="1"/>
  <c r="I12" i="35"/>
  <c r="W12" i="36"/>
  <c r="AO20" i="35"/>
  <c r="V20" i="36"/>
  <c r="AB20" i="36" s="1"/>
  <c r="AC11" i="35"/>
  <c r="W11" i="36"/>
  <c r="AC11" i="36" s="1"/>
  <c r="AE10" i="35"/>
  <c r="Y10" i="36"/>
  <c r="AQ21" i="35"/>
  <c r="X21" i="36"/>
  <c r="AD21" i="36" s="1"/>
  <c r="AP13" i="35"/>
  <c r="W13" i="36"/>
  <c r="AC13" i="36" s="1"/>
  <c r="AC22" i="35"/>
  <c r="W22" i="36"/>
  <c r="AR23" i="35"/>
  <c r="Y23" i="36"/>
  <c r="AR23" i="36" s="1"/>
  <c r="H22" i="35"/>
  <c r="V22" i="36"/>
  <c r="AB15" i="35"/>
  <c r="V15" i="36"/>
  <c r="AC18" i="35"/>
  <c r="W18" i="36"/>
  <c r="AC18" i="36" s="1"/>
  <c r="AE11" i="35"/>
  <c r="Y11" i="36"/>
  <c r="AE11" i="36" s="1"/>
  <c r="AB17" i="35"/>
  <c r="V17" i="36"/>
  <c r="AD22" i="35"/>
  <c r="X22" i="36"/>
  <c r="AB16" i="35"/>
  <c r="V16" i="36"/>
  <c r="AB16" i="36" s="1"/>
  <c r="AC17" i="35"/>
  <c r="W17" i="36"/>
  <c r="H11" i="35"/>
  <c r="V11" i="36"/>
  <c r="AB11" i="36" s="1"/>
  <c r="AB14" i="35"/>
  <c r="V14" i="36"/>
  <c r="AC14" i="35"/>
  <c r="W14" i="36"/>
  <c r="AC14" i="36" s="1"/>
  <c r="AO23" i="35"/>
  <c r="V23" i="36"/>
  <c r="AO23" i="36" s="1"/>
  <c r="K21" i="35"/>
  <c r="Y21" i="36"/>
  <c r="AB18" i="35"/>
  <c r="V18" i="36"/>
  <c r="AB18" i="36" s="1"/>
  <c r="AP20" i="35"/>
  <c r="W20" i="36"/>
  <c r="AC20" i="36" s="1"/>
  <c r="K22" i="35"/>
  <c r="Y22" i="36"/>
  <c r="AC21" i="35"/>
  <c r="W21" i="36"/>
  <c r="AC21" i="36" s="1"/>
  <c r="AD10" i="35"/>
  <c r="X10" i="36"/>
  <c r="AD10" i="36" s="1"/>
  <c r="AO10" i="35"/>
  <c r="V10" i="36"/>
  <c r="AF11" i="35"/>
  <c r="Z11" i="36"/>
  <c r="AD12" i="35"/>
  <c r="X12" i="36"/>
  <c r="AD12" i="36" s="1"/>
  <c r="AO13" i="35"/>
  <c r="V13" i="36"/>
  <c r="AB13" i="36" s="1"/>
  <c r="AC19" i="35"/>
  <c r="W19" i="36"/>
  <c r="AC19" i="36" s="1"/>
  <c r="AR12" i="35"/>
  <c r="Y12" i="36"/>
  <c r="AE12" i="36" s="1"/>
  <c r="AQ23" i="35"/>
  <c r="X23" i="36"/>
  <c r="AQ23" i="36" s="1"/>
  <c r="AP15" i="35"/>
  <c r="W15" i="36"/>
  <c r="AO19" i="35"/>
  <c r="V19" i="36"/>
  <c r="AB19" i="36" s="1"/>
  <c r="AP23" i="35"/>
  <c r="W23" i="36"/>
  <c r="AP23" i="36" s="1"/>
  <c r="AA22" i="36"/>
  <c r="AA11" i="36"/>
  <c r="AN18" i="35"/>
  <c r="AA18" i="36"/>
  <c r="AA15" i="36"/>
  <c r="AA23" i="36"/>
  <c r="G10" i="36"/>
  <c r="AA19" i="36"/>
  <c r="AA20" i="36"/>
  <c r="AA21" i="36"/>
  <c r="AN13" i="35"/>
  <c r="AA13" i="36"/>
  <c r="AA17" i="36"/>
  <c r="G16" i="36"/>
  <c r="AA14" i="36"/>
  <c r="AN12" i="36"/>
  <c r="G20" i="35"/>
  <c r="AA69" i="35"/>
  <c r="V55" i="35"/>
  <c r="AO55" i="35" s="1"/>
  <c r="V41" i="35"/>
  <c r="AO41" i="35" s="1"/>
  <c r="AA16" i="35"/>
  <c r="G12" i="35"/>
  <c r="AA13" i="35"/>
  <c r="G16" i="35"/>
  <c r="AA9" i="36"/>
  <c r="AA55" i="35"/>
  <c r="V57" i="35"/>
  <c r="AO57" i="35" s="1"/>
  <c r="AA11" i="35"/>
  <c r="AN15" i="35"/>
  <c r="G17" i="35"/>
  <c r="AA14" i="35"/>
  <c r="V42" i="35"/>
  <c r="AO42" i="35" s="1"/>
  <c r="AN20" i="35"/>
  <c r="G19" i="35"/>
  <c r="U42" i="35"/>
  <c r="AN42" i="35" s="1"/>
  <c r="AA10" i="35"/>
  <c r="AN12" i="35"/>
  <c r="AA23" i="35"/>
  <c r="A69" i="35"/>
  <c r="AN16" i="35"/>
  <c r="A57" i="35"/>
  <c r="U69" i="35"/>
  <c r="AN69" i="35" s="1"/>
  <c r="G18" i="35"/>
  <c r="AA57" i="35"/>
  <c r="AA21" i="35"/>
  <c r="AA22" i="35"/>
  <c r="AN22" i="36"/>
  <c r="A41" i="35"/>
  <c r="A48" i="35"/>
  <c r="A39" i="35"/>
  <c r="AA48" i="35"/>
  <c r="U48" i="35"/>
  <c r="AN48" i="35" s="1"/>
  <c r="G9" i="35"/>
  <c r="U58" i="35"/>
  <c r="AN58" i="35" s="1"/>
  <c r="U40" i="35"/>
  <c r="AN40" i="35" s="1"/>
  <c r="V31" i="35"/>
  <c r="AO31" i="35" s="1"/>
  <c r="U51" i="35"/>
  <c r="AN14" i="35"/>
  <c r="G14" i="35"/>
  <c r="A51" i="35"/>
  <c r="U56" i="35"/>
  <c r="AN56" i="35" s="1"/>
  <c r="V56" i="35"/>
  <c r="AO56" i="35" s="1"/>
  <c r="AA20" i="35"/>
  <c r="AA56" i="35"/>
  <c r="V36" i="35"/>
  <c r="AO36" i="35" s="1"/>
  <c r="A42" i="35"/>
  <c r="U63" i="35"/>
  <c r="AN63" i="35" s="1"/>
  <c r="U53" i="35"/>
  <c r="AN53" i="35" s="1"/>
  <c r="U45" i="35"/>
  <c r="AN45" i="35" s="1"/>
  <c r="V45" i="35"/>
  <c r="AO45" i="35" s="1"/>
  <c r="A61" i="35"/>
  <c r="V61" i="35"/>
  <c r="AO61" i="35" s="1"/>
  <c r="A38" i="35"/>
  <c r="U38" i="35"/>
  <c r="AN38" i="35" s="1"/>
  <c r="A44" i="35"/>
  <c r="V38" i="35"/>
  <c r="AO38" i="35" s="1"/>
  <c r="U54" i="35"/>
  <c r="AN54" i="35" s="1"/>
  <c r="V63" i="35"/>
  <c r="AO63" i="35" s="1"/>
  <c r="U70" i="35"/>
  <c r="AN70" i="35" s="1"/>
  <c r="G10" i="35"/>
  <c r="A70" i="35"/>
  <c r="A53" i="35"/>
  <c r="AA63" i="35"/>
  <c r="AN10" i="35"/>
  <c r="V44" i="35"/>
  <c r="AO44" i="35" s="1"/>
  <c r="A58" i="35"/>
  <c r="A68" i="35"/>
  <c r="A54" i="35"/>
  <c r="U44" i="35"/>
  <c r="AN44" i="35" s="1"/>
  <c r="V58" i="35"/>
  <c r="AO58" i="35" s="1"/>
  <c r="AA66" i="35"/>
  <c r="V54" i="35"/>
  <c r="AO54" i="35" s="1"/>
  <c r="AN17" i="35"/>
  <c r="U41" i="35"/>
  <c r="AN41" i="35" s="1"/>
  <c r="U39" i="35"/>
  <c r="AN39" i="35" s="1"/>
  <c r="U35" i="35"/>
  <c r="AN35" i="35" s="1"/>
  <c r="V39" i="35"/>
  <c r="AO39" i="35" s="1"/>
  <c r="G22" i="35"/>
  <c r="A37" i="35"/>
  <c r="U37" i="35"/>
  <c r="AN37" i="35" s="1"/>
  <c r="AA40" i="35"/>
  <c r="V37" i="35"/>
  <c r="AO37" i="35" s="1"/>
  <c r="V52" i="35"/>
  <c r="AO52" i="35" s="1"/>
  <c r="AA60" i="35"/>
  <c r="A46" i="35"/>
  <c r="U60" i="35"/>
  <c r="AN60" i="35" s="1"/>
  <c r="U43" i="35"/>
  <c r="AN43" i="35" s="1"/>
  <c r="AN19" i="35"/>
  <c r="AA52" i="35"/>
  <c r="A43" i="35"/>
  <c r="A66" i="35"/>
  <c r="AA36" i="35"/>
  <c r="V43" i="35"/>
  <c r="AO43" i="35" s="1"/>
  <c r="U66" i="35"/>
  <c r="AN66" i="35" s="1"/>
  <c r="U36" i="35"/>
  <c r="AN36" i="35" s="1"/>
  <c r="AA67" i="35"/>
  <c r="V46" i="35"/>
  <c r="AO46" i="35" s="1"/>
  <c r="U47" i="35"/>
  <c r="AN47" i="35" s="1"/>
  <c r="G21" i="35"/>
  <c r="V30" i="35"/>
  <c r="AO30" i="35" s="1"/>
  <c r="V62" i="35"/>
  <c r="AO62" i="35" s="1"/>
  <c r="AN11" i="35"/>
  <c r="A62" i="35"/>
  <c r="U46" i="35"/>
  <c r="AN46" i="35" s="1"/>
  <c r="A64" i="35"/>
  <c r="A31" i="35"/>
  <c r="A60" i="35"/>
  <c r="V40" i="35"/>
  <c r="AO40" i="35" s="1"/>
  <c r="AA47" i="35"/>
  <c r="G11" i="35"/>
  <c r="U64" i="35"/>
  <c r="AN64" i="35" s="1"/>
  <c r="U61" i="35"/>
  <c r="AN61" i="35" s="1"/>
  <c r="AA62" i="35"/>
  <c r="V64" i="35"/>
  <c r="AO64" i="35" s="1"/>
  <c r="U33" i="35"/>
  <c r="AN33" i="35" s="1"/>
  <c r="AA33" i="35"/>
  <c r="U34" i="35"/>
  <c r="AN34" i="35" s="1"/>
  <c r="A65" i="35"/>
  <c r="V68" i="35"/>
  <c r="AO68" i="35" s="1"/>
  <c r="V33" i="35"/>
  <c r="AO33" i="35" s="1"/>
  <c r="AA68" i="35"/>
  <c r="A45" i="35"/>
  <c r="AA17" i="35"/>
  <c r="V34" i="35"/>
  <c r="AO34" i="35" s="1"/>
  <c r="U65" i="35"/>
  <c r="AN65" i="35" s="1"/>
  <c r="V32" i="35"/>
  <c r="AO32" i="35" s="1"/>
  <c r="AA31" i="35"/>
  <c r="AA34" i="35"/>
  <c r="A52" i="35"/>
  <c r="V47" i="35"/>
  <c r="AO47" i="35" s="1"/>
  <c r="V65" i="35"/>
  <c r="AO65" i="35" s="1"/>
  <c r="U59" i="35"/>
  <c r="AN59" i="35" s="1"/>
  <c r="U32" i="35"/>
  <c r="AN32" i="35" s="1"/>
  <c r="A30" i="35"/>
  <c r="A59" i="35"/>
  <c r="U30" i="35"/>
  <c r="AN30" i="35" s="1"/>
  <c r="A67" i="35"/>
  <c r="U67" i="35"/>
  <c r="AN67" i="35" s="1"/>
  <c r="AN19" i="36"/>
  <c r="G19" i="36"/>
  <c r="G11" i="36"/>
  <c r="AN11" i="36"/>
  <c r="V64" i="36"/>
  <c r="A64" i="36"/>
  <c r="V35" i="35"/>
  <c r="AO35" i="35" s="1"/>
  <c r="V59" i="35"/>
  <c r="AO59" i="35" s="1"/>
  <c r="V53" i="35"/>
  <c r="AO53" i="35" s="1"/>
  <c r="AA19" i="35"/>
  <c r="AA32" i="35"/>
  <c r="V31" i="36"/>
  <c r="U31" i="36"/>
  <c r="A31" i="36"/>
  <c r="A35" i="35"/>
  <c r="V51" i="35"/>
  <c r="AN21" i="35"/>
  <c r="AA18" i="35"/>
  <c r="AN17" i="36"/>
  <c r="G17" i="36"/>
  <c r="AN15" i="36"/>
  <c r="G15" i="36"/>
  <c r="AN13" i="36"/>
  <c r="G13" i="36"/>
  <c r="AN22" i="35"/>
  <c r="AN18" i="36"/>
  <c r="G18" i="36"/>
  <c r="AN21" i="36"/>
  <c r="G21" i="36"/>
  <c r="AN9" i="36"/>
  <c r="AN20" i="36"/>
  <c r="G20" i="36"/>
  <c r="V69" i="36"/>
  <c r="V70" i="35"/>
  <c r="AO70" i="35" s="1"/>
  <c r="AP18" i="35"/>
  <c r="H17" i="35"/>
  <c r="AO17" i="35"/>
  <c r="H16" i="35"/>
  <c r="AO16" i="35"/>
  <c r="AO21" i="35"/>
  <c r="AB11" i="35"/>
  <c r="I19" i="35"/>
  <c r="I15" i="35"/>
  <c r="AP19" i="35"/>
  <c r="K12" i="35"/>
  <c r="AC15" i="35"/>
  <c r="H18" i="35"/>
  <c r="AB13" i="35"/>
  <c r="H21" i="35"/>
  <c r="AS11" i="35"/>
  <c r="AC20" i="35"/>
  <c r="J22" i="35"/>
  <c r="AQ22" i="35"/>
  <c r="J10" i="35"/>
  <c r="I22" i="35"/>
  <c r="AO18" i="35"/>
  <c r="L11" i="35"/>
  <c r="H10" i="35"/>
  <c r="I18" i="35"/>
  <c r="AO11" i="35"/>
  <c r="I20" i="35"/>
  <c r="AD21" i="35"/>
  <c r="AB22" i="35"/>
  <c r="AE23" i="35"/>
  <c r="AO22" i="35"/>
  <c r="AR11" i="35"/>
  <c r="K11" i="35"/>
  <c r="H13" i="35"/>
  <c r="I10" i="35"/>
  <c r="AP22" i="35"/>
  <c r="AB19" i="35"/>
  <c r="AE21" i="35"/>
  <c r="AP21" i="35"/>
  <c r="AP16" i="35"/>
  <c r="AD23" i="35"/>
  <c r="H19" i="35"/>
  <c r="I21" i="35"/>
  <c r="I14" i="35"/>
  <c r="AC23" i="35"/>
  <c r="K10" i="35"/>
  <c r="AP11" i="35"/>
  <c r="AR10" i="35"/>
  <c r="AE12" i="35"/>
  <c r="I11" i="35"/>
  <c r="AP14" i="35"/>
  <c r="AC16" i="35"/>
  <c r="AQ11" i="35"/>
  <c r="J11" i="35"/>
  <c r="AQ10" i="35"/>
  <c r="J21" i="35"/>
  <c r="AB10" i="35"/>
  <c r="AF23" i="35"/>
  <c r="AB20" i="35"/>
  <c r="I13" i="35"/>
  <c r="AC13" i="35"/>
  <c r="AC12" i="35"/>
  <c r="J12" i="35"/>
  <c r="AP12" i="35"/>
  <c r="H15" i="35"/>
  <c r="AO15" i="35"/>
  <c r="AQ12" i="35"/>
  <c r="AB12" i="35"/>
  <c r="H20" i="35"/>
  <c r="AS12" i="35"/>
  <c r="AO14" i="35"/>
  <c r="H14" i="35"/>
  <c r="H12" i="35"/>
  <c r="L12" i="35"/>
  <c r="I17" i="35"/>
  <c r="AB23" i="35"/>
  <c r="AE22" i="35"/>
  <c r="AC10" i="35"/>
  <c r="AP17" i="35"/>
  <c r="AS10" i="35"/>
  <c r="L10" i="35"/>
  <c r="AN23" i="35"/>
  <c r="AA15" i="35"/>
  <c r="G15" i="35"/>
  <c r="AA9" i="35"/>
  <c r="AN9" i="35"/>
  <c r="AO66" i="35"/>
  <c r="AO69" i="35"/>
  <c r="I19" i="34"/>
  <c r="H13" i="34"/>
  <c r="AO16" i="34"/>
  <c r="AO17" i="34"/>
  <c r="I20" i="34"/>
  <c r="AO22" i="34"/>
  <c r="I15" i="34"/>
  <c r="I16" i="34"/>
  <c r="AO14" i="34"/>
  <c r="I18" i="34"/>
  <c r="I14" i="34"/>
  <c r="I21" i="34"/>
  <c r="I17" i="34"/>
  <c r="AO21" i="34"/>
  <c r="AO15" i="34"/>
  <c r="I13" i="34"/>
  <c r="J11" i="34"/>
  <c r="AQ12" i="34"/>
  <c r="I11" i="34"/>
  <c r="I10" i="34"/>
  <c r="J10" i="34"/>
  <c r="G20" i="34"/>
  <c r="AN12" i="34"/>
  <c r="AN19" i="34"/>
  <c r="AN22" i="34"/>
  <c r="AN13" i="34"/>
  <c r="AN17" i="34"/>
  <c r="AN10" i="34"/>
  <c r="AN11" i="34"/>
  <c r="AN15" i="34"/>
  <c r="G21" i="34"/>
  <c r="AN14" i="34"/>
  <c r="AN18" i="34"/>
  <c r="G16" i="34"/>
  <c r="A34" i="34"/>
  <c r="V34" i="34"/>
  <c r="U34" i="34"/>
  <c r="A52" i="34"/>
  <c r="V52" i="34"/>
  <c r="U52" i="34"/>
  <c r="AS10" i="34"/>
  <c r="L10" i="34"/>
  <c r="A31" i="34"/>
  <c r="U31" i="34"/>
  <c r="AB31" i="34" s="1"/>
  <c r="V31" i="34"/>
  <c r="AC31" i="34" s="1"/>
  <c r="V47" i="34"/>
  <c r="A47" i="34"/>
  <c r="U47" i="34"/>
  <c r="A37" i="34"/>
  <c r="V37" i="34"/>
  <c r="U37" i="34"/>
  <c r="V60" i="34"/>
  <c r="U60" i="34"/>
  <c r="A60" i="34"/>
  <c r="A68" i="34"/>
  <c r="U68" i="34"/>
  <c r="V68" i="34"/>
  <c r="V44" i="34"/>
  <c r="U44" i="34"/>
  <c r="A44" i="34"/>
  <c r="A38" i="34"/>
  <c r="U38" i="34"/>
  <c r="V38" i="34"/>
  <c r="V33" i="34"/>
  <c r="U33" i="34"/>
  <c r="A33" i="34"/>
  <c r="A59" i="34"/>
  <c r="U59" i="34"/>
  <c r="V59" i="34"/>
  <c r="V36" i="34"/>
  <c r="A36" i="34"/>
  <c r="U36" i="34"/>
  <c r="U54" i="34"/>
  <c r="V54" i="34"/>
  <c r="A54" i="34"/>
  <c r="V64" i="34"/>
  <c r="U64" i="34"/>
  <c r="A64" i="34"/>
  <c r="U48" i="34"/>
  <c r="A48" i="34"/>
  <c r="V48" i="34"/>
  <c r="U63" i="34"/>
  <c r="V63" i="34"/>
  <c r="A63" i="34"/>
  <c r="A56" i="34"/>
  <c r="U56" i="34"/>
  <c r="V56" i="34"/>
  <c r="V43" i="34"/>
  <c r="A43" i="34"/>
  <c r="U43" i="34"/>
  <c r="U67" i="34"/>
  <c r="A67" i="34"/>
  <c r="V67" i="34"/>
  <c r="A32" i="34"/>
  <c r="V32" i="34"/>
  <c r="U32" i="34"/>
  <c r="V55" i="34"/>
  <c r="U55" i="34"/>
  <c r="A55" i="34"/>
  <c r="V53" i="34"/>
  <c r="U53" i="34"/>
  <c r="A53" i="34"/>
  <c r="V40" i="34"/>
  <c r="U40" i="34"/>
  <c r="A40" i="34"/>
  <c r="AS12" i="34"/>
  <c r="L12" i="34"/>
  <c r="V39" i="34"/>
  <c r="A39" i="34"/>
  <c r="U39" i="34"/>
  <c r="U45" i="34"/>
  <c r="V45" i="34"/>
  <c r="A45" i="34"/>
  <c r="U70" i="34"/>
  <c r="A70" i="34"/>
  <c r="V70" i="34"/>
  <c r="AR12" i="34"/>
  <c r="K12" i="34"/>
  <c r="U41" i="34"/>
  <c r="V41" i="34"/>
  <c r="A41" i="34"/>
  <c r="A65" i="34"/>
  <c r="V65" i="34"/>
  <c r="U65" i="34"/>
  <c r="V46" i="34"/>
  <c r="A46" i="34"/>
  <c r="U46" i="34"/>
  <c r="V57" i="34"/>
  <c r="A57" i="34"/>
  <c r="U57" i="34"/>
  <c r="A61" i="34"/>
  <c r="V61" i="34"/>
  <c r="U61" i="34"/>
  <c r="A69" i="34"/>
  <c r="V69" i="34"/>
  <c r="U69" i="34"/>
  <c r="U58" i="34"/>
  <c r="V58" i="34"/>
  <c r="A58" i="34"/>
  <c r="V51" i="34"/>
  <c r="U51" i="34"/>
  <c r="A51" i="34"/>
  <c r="A30" i="34"/>
  <c r="V30" i="34"/>
  <c r="U30" i="34"/>
  <c r="K10" i="34"/>
  <c r="AR10" i="34"/>
  <c r="V35" i="34"/>
  <c r="A35" i="34"/>
  <c r="U35" i="34"/>
  <c r="AR11" i="34"/>
  <c r="K11" i="34"/>
  <c r="A42" i="34"/>
  <c r="V42" i="34"/>
  <c r="U42" i="34"/>
  <c r="A66" i="34"/>
  <c r="V66" i="34"/>
  <c r="U66" i="34"/>
  <c r="V62" i="34"/>
  <c r="U62" i="34"/>
  <c r="AB62" i="35" s="1"/>
  <c r="A62" i="34"/>
  <c r="AS11" i="34"/>
  <c r="L11" i="34"/>
  <c r="G61" i="20"/>
  <c r="H61" i="20"/>
  <c r="G63" i="20"/>
  <c r="H63" i="20"/>
  <c r="H65" i="20"/>
  <c r="G65" i="20"/>
  <c r="H66" i="20"/>
  <c r="G66" i="20"/>
  <c r="H62" i="20"/>
  <c r="G62" i="20"/>
  <c r="H64" i="20"/>
  <c r="G64" i="20"/>
  <c r="A55" i="20"/>
  <c r="I55" i="19"/>
  <c r="I33" i="19" s="1"/>
  <c r="A56" i="20"/>
  <c r="I56" i="19"/>
  <c r="I34" i="19" s="1"/>
  <c r="A59" i="20"/>
  <c r="I59" i="19"/>
  <c r="I37" i="19" s="1"/>
  <c r="A53" i="20"/>
  <c r="I53" i="19"/>
  <c r="I31" i="19" s="1"/>
  <c r="A54" i="20"/>
  <c r="I54" i="19"/>
  <c r="I32" i="19" s="1"/>
  <c r="A57" i="20"/>
  <c r="I57" i="19"/>
  <c r="I35" i="19" s="1"/>
  <c r="A47" i="20"/>
  <c r="I47" i="19"/>
  <c r="I25" i="19" s="1"/>
  <c r="A60" i="20"/>
  <c r="I60" i="19"/>
  <c r="I38" i="19" s="1"/>
  <c r="A49" i="20"/>
  <c r="I49" i="19"/>
  <c r="I27" i="19" s="1"/>
  <c r="A50" i="20"/>
  <c r="I50" i="19"/>
  <c r="I28" i="19" s="1"/>
  <c r="A58" i="20"/>
  <c r="I58" i="19"/>
  <c r="I36" i="19" s="1"/>
  <c r="A48" i="20"/>
  <c r="I48" i="19"/>
  <c r="I26" i="19" s="1"/>
  <c r="A51" i="20"/>
  <c r="I51" i="19"/>
  <c r="I29" i="19" s="1"/>
  <c r="A52" i="20"/>
  <c r="I52" i="19"/>
  <c r="I30" i="19" s="1"/>
  <c r="A63" i="21"/>
  <c r="A62" i="21"/>
  <c r="A64" i="21"/>
  <c r="A65" i="21"/>
  <c r="A61" i="21"/>
  <c r="A66" i="21"/>
  <c r="B28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7" i="19"/>
  <c r="B26" i="19"/>
  <c r="B25" i="19"/>
  <c r="L17" i="19"/>
  <c r="K17" i="20" s="1"/>
  <c r="K17" i="21" s="1"/>
  <c r="U17" i="21" s="1"/>
  <c r="K17" i="19"/>
  <c r="J17" i="20" s="1"/>
  <c r="J17" i="21" s="1"/>
  <c r="T17" i="21" s="1"/>
  <c r="J17" i="19"/>
  <c r="I17" i="20" s="1"/>
  <c r="I17" i="21" s="1"/>
  <c r="S17" i="21" s="1"/>
  <c r="I17" i="19"/>
  <c r="H17" i="20" s="1"/>
  <c r="H17" i="21" s="1"/>
  <c r="R17" i="21" s="1"/>
  <c r="H17" i="19"/>
  <c r="G17" i="20" s="1"/>
  <c r="G17" i="21" s="1"/>
  <c r="Q17" i="21" s="1"/>
  <c r="L16" i="19"/>
  <c r="K16" i="20" s="1"/>
  <c r="K16" i="21" s="1"/>
  <c r="U16" i="21" s="1"/>
  <c r="K16" i="19"/>
  <c r="J16" i="20" s="1"/>
  <c r="J16" i="21" s="1"/>
  <c r="T16" i="21" s="1"/>
  <c r="J16" i="19"/>
  <c r="I16" i="20" s="1"/>
  <c r="I16" i="21" s="1"/>
  <c r="S16" i="21" s="1"/>
  <c r="I16" i="19"/>
  <c r="H16" i="20" s="1"/>
  <c r="H16" i="21" s="1"/>
  <c r="R16" i="21" s="1"/>
  <c r="H16" i="19"/>
  <c r="G16" i="20" s="1"/>
  <c r="G16" i="21" s="1"/>
  <c r="Q16" i="21" s="1"/>
  <c r="J15" i="19"/>
  <c r="I15" i="20" s="1"/>
  <c r="I15" i="21" s="1"/>
  <c r="S15" i="21" s="1"/>
  <c r="I15" i="19"/>
  <c r="H15" i="20" s="1"/>
  <c r="H15" i="21" s="1"/>
  <c r="R15" i="21" s="1"/>
  <c r="H15" i="19"/>
  <c r="G15" i="20" s="1"/>
  <c r="G15" i="21" s="1"/>
  <c r="Q15" i="21" s="1"/>
  <c r="J14" i="19"/>
  <c r="I14" i="20" s="1"/>
  <c r="I14" i="21" s="1"/>
  <c r="S14" i="21" s="1"/>
  <c r="I14" i="19"/>
  <c r="H14" i="20" s="1"/>
  <c r="H14" i="21" s="1"/>
  <c r="R14" i="21" s="1"/>
  <c r="H14" i="19"/>
  <c r="G14" i="20" s="1"/>
  <c r="G14" i="21" s="1"/>
  <c r="Q14" i="21" s="1"/>
  <c r="J13" i="19"/>
  <c r="I13" i="20" s="1"/>
  <c r="I13" i="21" s="1"/>
  <c r="S13" i="21" s="1"/>
  <c r="I13" i="19"/>
  <c r="H13" i="20" s="1"/>
  <c r="H13" i="21" s="1"/>
  <c r="R13" i="21" s="1"/>
  <c r="H13" i="19"/>
  <c r="G13" i="20" s="1"/>
  <c r="G13" i="21" s="1"/>
  <c r="Q13" i="21" s="1"/>
  <c r="J12" i="19"/>
  <c r="I12" i="20" s="1"/>
  <c r="I12" i="21" s="1"/>
  <c r="S12" i="21" s="1"/>
  <c r="I12" i="19"/>
  <c r="H12" i="20" s="1"/>
  <c r="H12" i="21" s="1"/>
  <c r="R12" i="21" s="1"/>
  <c r="H12" i="19"/>
  <c r="G12" i="20" s="1"/>
  <c r="G12" i="21" s="1"/>
  <c r="Q12" i="21" s="1"/>
  <c r="J11" i="19"/>
  <c r="I11" i="20" s="1"/>
  <c r="I11" i="21" s="1"/>
  <c r="S11" i="21" s="1"/>
  <c r="I11" i="19"/>
  <c r="H11" i="20" s="1"/>
  <c r="H11" i="21" s="1"/>
  <c r="R11" i="21" s="1"/>
  <c r="H11" i="19"/>
  <c r="G11" i="20" s="1"/>
  <c r="G11" i="21" s="1"/>
  <c r="Q11" i="21" s="1"/>
  <c r="J10" i="19"/>
  <c r="I10" i="20" s="1"/>
  <c r="I10" i="21" s="1"/>
  <c r="S10" i="21" s="1"/>
  <c r="I10" i="19"/>
  <c r="H10" i="20" s="1"/>
  <c r="H10" i="21" s="1"/>
  <c r="R10" i="21" s="1"/>
  <c r="H10" i="19"/>
  <c r="G10" i="20" s="1"/>
  <c r="G10" i="21" s="1"/>
  <c r="Q10" i="21" s="1"/>
  <c r="J9" i="19"/>
  <c r="I9" i="20" s="1"/>
  <c r="I9" i="21" s="1"/>
  <c r="S9" i="21" s="1"/>
  <c r="I9" i="19"/>
  <c r="H9" i="20" s="1"/>
  <c r="H9" i="21" s="1"/>
  <c r="R9" i="21" s="1"/>
  <c r="H9" i="19"/>
  <c r="G9" i="20" s="1"/>
  <c r="G9" i="21" s="1"/>
  <c r="Q9" i="21" s="1"/>
  <c r="J8" i="19"/>
  <c r="I8" i="20" s="1"/>
  <c r="I8" i="21" s="1"/>
  <c r="S8" i="21" s="1"/>
  <c r="I8" i="19"/>
  <c r="H8" i="20" s="1"/>
  <c r="H8" i="21" s="1"/>
  <c r="R8" i="21" s="1"/>
  <c r="H8" i="19"/>
  <c r="G8" i="20" s="1"/>
  <c r="G8" i="21" s="1"/>
  <c r="Q8" i="21" s="1"/>
  <c r="M7" i="19"/>
  <c r="L7" i="20" s="1"/>
  <c r="L7" i="21" s="1"/>
  <c r="V7" i="21" s="1"/>
  <c r="L7" i="19"/>
  <c r="K7" i="20" s="1"/>
  <c r="K7" i="21" s="1"/>
  <c r="U7" i="21" s="1"/>
  <c r="K7" i="19"/>
  <c r="J7" i="20" s="1"/>
  <c r="J7" i="21" s="1"/>
  <c r="T7" i="21" s="1"/>
  <c r="J7" i="19"/>
  <c r="I7" i="20" s="1"/>
  <c r="I7" i="21" s="1"/>
  <c r="S7" i="21" s="1"/>
  <c r="I7" i="19"/>
  <c r="H7" i="20" s="1"/>
  <c r="H7" i="21" s="1"/>
  <c r="R7" i="21" s="1"/>
  <c r="H7" i="19"/>
  <c r="G7" i="20" s="1"/>
  <c r="G7" i="21" s="1"/>
  <c r="Q7" i="21" s="1"/>
  <c r="M6" i="19"/>
  <c r="L6" i="20" s="1"/>
  <c r="L6" i="21" s="1"/>
  <c r="V6" i="21" s="1"/>
  <c r="L6" i="19"/>
  <c r="K6" i="20" s="1"/>
  <c r="K6" i="21" s="1"/>
  <c r="U6" i="21" s="1"/>
  <c r="K6" i="19"/>
  <c r="J6" i="20" s="1"/>
  <c r="J6" i="21" s="1"/>
  <c r="T6" i="21" s="1"/>
  <c r="J6" i="19"/>
  <c r="I6" i="20" s="1"/>
  <c r="I6" i="21" s="1"/>
  <c r="S6" i="21" s="1"/>
  <c r="I6" i="19"/>
  <c r="H6" i="20" s="1"/>
  <c r="H6" i="21" s="1"/>
  <c r="R6" i="21" s="1"/>
  <c r="H6" i="19"/>
  <c r="G6" i="20" s="1"/>
  <c r="G6" i="21" s="1"/>
  <c r="Q6" i="21" s="1"/>
  <c r="M5" i="19"/>
  <c r="L5" i="19"/>
  <c r="K5" i="19"/>
  <c r="J5" i="19"/>
  <c r="I5" i="19"/>
  <c r="H5" i="19"/>
  <c r="H4" i="19"/>
  <c r="G4" i="20" s="1"/>
  <c r="G4" i="21" s="1"/>
  <c r="Q4" i="21" s="1"/>
  <c r="W8" i="22"/>
  <c r="V8" i="22"/>
  <c r="V53" i="36" l="1"/>
  <c r="AC67" i="35"/>
  <c r="AC69" i="36"/>
  <c r="AC69" i="35"/>
  <c r="AC66" i="35"/>
  <c r="K21" i="36"/>
  <c r="AR21" i="36"/>
  <c r="K22" i="36"/>
  <c r="AR22" i="36"/>
  <c r="V62" i="36"/>
  <c r="AO62" i="36" s="1"/>
  <c r="U53" i="36"/>
  <c r="AB53" i="36" s="1"/>
  <c r="A59" i="36"/>
  <c r="U59" i="36"/>
  <c r="AN59" i="36" s="1"/>
  <c r="U52" i="36"/>
  <c r="AB52" i="36" s="1"/>
  <c r="A57" i="36"/>
  <c r="V59" i="36"/>
  <c r="AC59" i="36" s="1"/>
  <c r="U57" i="36"/>
  <c r="AB57" i="36" s="1"/>
  <c r="AB68" i="36"/>
  <c r="V52" i="36"/>
  <c r="AC52" i="36" s="1"/>
  <c r="A69" i="36"/>
  <c r="V57" i="36"/>
  <c r="AC57" i="36" s="1"/>
  <c r="U62" i="36"/>
  <c r="AB62" i="36" s="1"/>
  <c r="A62" i="36"/>
  <c r="A65" i="36"/>
  <c r="AB57" i="35"/>
  <c r="AB52" i="35"/>
  <c r="AC66" i="36"/>
  <c r="AB68" i="35"/>
  <c r="AA66" i="36"/>
  <c r="V61" i="36"/>
  <c r="AO61" i="36" s="1"/>
  <c r="V63" i="36"/>
  <c r="AC63" i="36" s="1"/>
  <c r="U61" i="36"/>
  <c r="AB61" i="36" s="1"/>
  <c r="A63" i="36"/>
  <c r="A61" i="36"/>
  <c r="U64" i="36"/>
  <c r="AB64" i="36" s="1"/>
  <c r="V55" i="36"/>
  <c r="AO55" i="36" s="1"/>
  <c r="A67" i="36"/>
  <c r="A56" i="36"/>
  <c r="V67" i="36"/>
  <c r="AC67" i="36" s="1"/>
  <c r="AC60" i="35"/>
  <c r="U56" i="36"/>
  <c r="AB56" i="36" s="1"/>
  <c r="AA63" i="36"/>
  <c r="A55" i="36"/>
  <c r="U55" i="36"/>
  <c r="AB55" i="36" s="1"/>
  <c r="AA65" i="36"/>
  <c r="V54" i="36"/>
  <c r="AO54" i="36" s="1"/>
  <c r="A54" i="36"/>
  <c r="U54" i="36"/>
  <c r="AB54" i="36" s="1"/>
  <c r="A68" i="36"/>
  <c r="V68" i="36"/>
  <c r="AC68" i="36" s="1"/>
  <c r="V56" i="36"/>
  <c r="AC56" i="36" s="1"/>
  <c r="U67" i="36"/>
  <c r="AN67" i="36" s="1"/>
  <c r="AA70" i="36"/>
  <c r="AA68" i="36"/>
  <c r="A53" i="36"/>
  <c r="U60" i="36"/>
  <c r="AB60" i="36" s="1"/>
  <c r="AA58" i="36"/>
  <c r="AA60" i="36"/>
  <c r="V60" i="36"/>
  <c r="AC60" i="36" s="1"/>
  <c r="A70" i="36"/>
  <c r="U65" i="36"/>
  <c r="AB65" i="36" s="1"/>
  <c r="A66" i="36"/>
  <c r="V58" i="36"/>
  <c r="AC58" i="36" s="1"/>
  <c r="U58" i="36"/>
  <c r="AB58" i="36" s="1"/>
  <c r="AB55" i="35"/>
  <c r="U70" i="36"/>
  <c r="AB70" i="36" s="1"/>
  <c r="U66" i="36"/>
  <c r="AN66" i="36" s="1"/>
  <c r="AA52" i="36"/>
  <c r="AA51" i="36"/>
  <c r="U51" i="36"/>
  <c r="AN51" i="36" s="1"/>
  <c r="V51" i="36"/>
  <c r="AO51" i="36" s="1"/>
  <c r="AB69" i="36"/>
  <c r="AB31" i="36"/>
  <c r="AC31" i="36"/>
  <c r="AC65" i="36"/>
  <c r="AN51" i="35"/>
  <c r="AO51" i="35"/>
  <c r="AC53" i="36"/>
  <c r="AC70" i="36"/>
  <c r="AC64" i="36"/>
  <c r="AB63" i="36"/>
  <c r="AC34" i="36"/>
  <c r="U46" i="36"/>
  <c r="AN46" i="36" s="1"/>
  <c r="V46" i="36"/>
  <c r="AC46" i="36" s="1"/>
  <c r="A46" i="36"/>
  <c r="V43" i="36"/>
  <c r="AC43" i="36" s="1"/>
  <c r="AA43" i="36"/>
  <c r="V37" i="36"/>
  <c r="AC37" i="36" s="1"/>
  <c r="AA37" i="36"/>
  <c r="A44" i="36"/>
  <c r="AA44" i="36"/>
  <c r="U47" i="36"/>
  <c r="AB47" i="36" s="1"/>
  <c r="AA47" i="36"/>
  <c r="U45" i="36"/>
  <c r="AB45" i="36" s="1"/>
  <c r="AA45" i="36"/>
  <c r="AC35" i="36"/>
  <c r="U35" i="36"/>
  <c r="AB35" i="36" s="1"/>
  <c r="AA35" i="36"/>
  <c r="V48" i="36"/>
  <c r="AC48" i="36" s="1"/>
  <c r="AA48" i="36"/>
  <c r="AB33" i="36"/>
  <c r="U42" i="36"/>
  <c r="AB42" i="36" s="1"/>
  <c r="A37" i="36"/>
  <c r="V42" i="36"/>
  <c r="AC42" i="36" s="1"/>
  <c r="AC48" i="35"/>
  <c r="A36" i="36"/>
  <c r="U36" i="36"/>
  <c r="AB36" i="36" s="1"/>
  <c r="A35" i="36"/>
  <c r="V36" i="36"/>
  <c r="A40" i="36"/>
  <c r="U41" i="36"/>
  <c r="V38" i="36"/>
  <c r="U37" i="36"/>
  <c r="AB37" i="36" s="1"/>
  <c r="A42" i="36"/>
  <c r="U32" i="36"/>
  <c r="AB32" i="36" s="1"/>
  <c r="A33" i="36"/>
  <c r="U44" i="36"/>
  <c r="V44" i="36"/>
  <c r="V32" i="36"/>
  <c r="AC32" i="36" s="1"/>
  <c r="V45" i="36"/>
  <c r="U34" i="36"/>
  <c r="A34" i="36"/>
  <c r="A41" i="36"/>
  <c r="V41" i="36"/>
  <c r="U40" i="36"/>
  <c r="AB40" i="36" s="1"/>
  <c r="V47" i="36"/>
  <c r="AC47" i="36" s="1"/>
  <c r="V40" i="36"/>
  <c r="AC40" i="36" s="1"/>
  <c r="A47" i="36"/>
  <c r="A38" i="36"/>
  <c r="U38" i="36"/>
  <c r="AB38" i="36" s="1"/>
  <c r="A43" i="36"/>
  <c r="U43" i="36"/>
  <c r="A48" i="36"/>
  <c r="U48" i="36"/>
  <c r="AB48" i="36" s="1"/>
  <c r="A39" i="36"/>
  <c r="U39" i="36"/>
  <c r="AB39" i="36" s="1"/>
  <c r="V39" i="36"/>
  <c r="AC39" i="36" s="1"/>
  <c r="V33" i="36"/>
  <c r="A30" i="36"/>
  <c r="V30" i="36"/>
  <c r="AC30" i="36" s="1"/>
  <c r="U30" i="36"/>
  <c r="AE23" i="36"/>
  <c r="AC23" i="36"/>
  <c r="AP11" i="36"/>
  <c r="I11" i="36"/>
  <c r="AP15" i="36"/>
  <c r="I15" i="36"/>
  <c r="AS11" i="36"/>
  <c r="L11" i="36"/>
  <c r="AO18" i="36"/>
  <c r="H18" i="36"/>
  <c r="I17" i="36"/>
  <c r="AP17" i="36"/>
  <c r="AO15" i="36"/>
  <c r="H15" i="36"/>
  <c r="K10" i="36"/>
  <c r="AR10" i="36"/>
  <c r="AC15" i="36"/>
  <c r="AE21" i="36"/>
  <c r="I10" i="36"/>
  <c r="AP10" i="36"/>
  <c r="AE22" i="36"/>
  <c r="AF11" i="36"/>
  <c r="AR12" i="36"/>
  <c r="K12" i="36"/>
  <c r="AQ10" i="36"/>
  <c r="J10" i="36"/>
  <c r="J22" i="36"/>
  <c r="AQ22" i="36"/>
  <c r="H20" i="36"/>
  <c r="AO20" i="36"/>
  <c r="AO12" i="36"/>
  <c r="H12" i="36"/>
  <c r="AO22" i="36"/>
  <c r="H22" i="36"/>
  <c r="AC10" i="36"/>
  <c r="AD22" i="36"/>
  <c r="AC17" i="36"/>
  <c r="AP19" i="36"/>
  <c r="I19" i="36"/>
  <c r="AP21" i="36"/>
  <c r="I21" i="36"/>
  <c r="AP14" i="36"/>
  <c r="I14" i="36"/>
  <c r="AO17" i="36"/>
  <c r="H17" i="36"/>
  <c r="AP22" i="36"/>
  <c r="I22" i="36"/>
  <c r="I12" i="36"/>
  <c r="AP12" i="36"/>
  <c r="L10" i="36"/>
  <c r="AS10" i="36"/>
  <c r="AE10" i="36"/>
  <c r="AB22" i="36"/>
  <c r="AB23" i="36"/>
  <c r="AB15" i="36"/>
  <c r="AO13" i="36"/>
  <c r="H13" i="36"/>
  <c r="H14" i="36"/>
  <c r="AO14" i="36"/>
  <c r="K11" i="36"/>
  <c r="AR11" i="36"/>
  <c r="AP13" i="36"/>
  <c r="I13" i="36"/>
  <c r="I16" i="36"/>
  <c r="AP16" i="36"/>
  <c r="AS12" i="36"/>
  <c r="L12" i="36"/>
  <c r="H10" i="36"/>
  <c r="AO10" i="36"/>
  <c r="AO16" i="36"/>
  <c r="H16" i="36"/>
  <c r="AB10" i="36"/>
  <c r="AC12" i="36"/>
  <c r="AF23" i="36"/>
  <c r="AB14" i="36"/>
  <c r="AO19" i="36"/>
  <c r="H19" i="36"/>
  <c r="AQ12" i="36"/>
  <c r="J12" i="36"/>
  <c r="AP20" i="36"/>
  <c r="I20" i="36"/>
  <c r="H11" i="36"/>
  <c r="AO11" i="36"/>
  <c r="I18" i="36"/>
  <c r="AP18" i="36"/>
  <c r="AQ21" i="36"/>
  <c r="J21" i="36"/>
  <c r="H21" i="36"/>
  <c r="AO21" i="36"/>
  <c r="AQ11" i="36"/>
  <c r="J11" i="36"/>
  <c r="AB17" i="36"/>
  <c r="AD23" i="36"/>
  <c r="AC22" i="36"/>
  <c r="AA12" i="36"/>
  <c r="G12" i="36"/>
  <c r="AC41" i="35"/>
  <c r="AA16" i="36"/>
  <c r="AA10" i="36"/>
  <c r="AN16" i="36"/>
  <c r="AN10" i="36"/>
  <c r="G9" i="36"/>
  <c r="AC55" i="35"/>
  <c r="AC62" i="35"/>
  <c r="AB40" i="35"/>
  <c r="AB48" i="35"/>
  <c r="AB56" i="35"/>
  <c r="AC39" i="35"/>
  <c r="AC57" i="35"/>
  <c r="AB42" i="35"/>
  <c r="AB58" i="35"/>
  <c r="AB69" i="35"/>
  <c r="AC42" i="35"/>
  <c r="AB63" i="35"/>
  <c r="AC61" i="35"/>
  <c r="AB35" i="35"/>
  <c r="AB45" i="35"/>
  <c r="AN23" i="36"/>
  <c r="AN14" i="36"/>
  <c r="G14" i="36"/>
  <c r="G22" i="36"/>
  <c r="AC56" i="35"/>
  <c r="AB59" i="35"/>
  <c r="AC45" i="35"/>
  <c r="AB43" i="35"/>
  <c r="AB65" i="35"/>
  <c r="AC43" i="35"/>
  <c r="AC64" i="35"/>
  <c r="AB38" i="35"/>
  <c r="AC32" i="35"/>
  <c r="AB51" i="35"/>
  <c r="AC36" i="35"/>
  <c r="AB46" i="35"/>
  <c r="AC54" i="35"/>
  <c r="AB37" i="35"/>
  <c r="AC38" i="35"/>
  <c r="AB53" i="35"/>
  <c r="AC33" i="35"/>
  <c r="AC65" i="35"/>
  <c r="AC44" i="35"/>
  <c r="AC47" i="35"/>
  <c r="AC68" i="35"/>
  <c r="AC58" i="35"/>
  <c r="AB70" i="35"/>
  <c r="AC52" i="35"/>
  <c r="AB66" i="35"/>
  <c r="AC37" i="35"/>
  <c r="AB30" i="35"/>
  <c r="AB61" i="35"/>
  <c r="AB54" i="35"/>
  <c r="AB34" i="35"/>
  <c r="AC30" i="35"/>
  <c r="AC34" i="35"/>
  <c r="AB41" i="35"/>
  <c r="AC63" i="35"/>
  <c r="AB44" i="35"/>
  <c r="AB39" i="35"/>
  <c r="AC59" i="35"/>
  <c r="AC46" i="35"/>
  <c r="AC35" i="35"/>
  <c r="AB32" i="35"/>
  <c r="AB36" i="35"/>
  <c r="AB47" i="35"/>
  <c r="AC70" i="35"/>
  <c r="AC40" i="35"/>
  <c r="AB67" i="35"/>
  <c r="AB33" i="35"/>
  <c r="AB60" i="35"/>
  <c r="AC51" i="35"/>
  <c r="AB64" i="35"/>
  <c r="AC53" i="35"/>
  <c r="AO64" i="36"/>
  <c r="AO53" i="36"/>
  <c r="AN33" i="36"/>
  <c r="AN31" i="36"/>
  <c r="AO31" i="36"/>
  <c r="AO66" i="36"/>
  <c r="AO34" i="36"/>
  <c r="AN68" i="36"/>
  <c r="AO35" i="36"/>
  <c r="AO70" i="36"/>
  <c r="AN63" i="36"/>
  <c r="AN69" i="36"/>
  <c r="AO69" i="36"/>
  <c r="AO65" i="36"/>
  <c r="AC31" i="35"/>
  <c r="AB31" i="35"/>
  <c r="AO41" i="34"/>
  <c r="AC41" i="34"/>
  <c r="AN42" i="34"/>
  <c r="AB42" i="34"/>
  <c r="AN32" i="34"/>
  <c r="AB32" i="34"/>
  <c r="AO42" i="34"/>
  <c r="AC42" i="34"/>
  <c r="AO51" i="34"/>
  <c r="AC51" i="34"/>
  <c r="AO57" i="34"/>
  <c r="AC57" i="34"/>
  <c r="AO70" i="34"/>
  <c r="AC70" i="34"/>
  <c r="AN40" i="34"/>
  <c r="AB40" i="34"/>
  <c r="AN59" i="34"/>
  <c r="AB59" i="34"/>
  <c r="AN68" i="34"/>
  <c r="AB68" i="34"/>
  <c r="AN36" i="34"/>
  <c r="AB36" i="34"/>
  <c r="AN46" i="34"/>
  <c r="AB46" i="34"/>
  <c r="AO40" i="34"/>
  <c r="AC40" i="34"/>
  <c r="AN67" i="34"/>
  <c r="AB67" i="34"/>
  <c r="AN48" i="34"/>
  <c r="AB48" i="34"/>
  <c r="AO34" i="34"/>
  <c r="AC34" i="34"/>
  <c r="AN44" i="34"/>
  <c r="AB44" i="34"/>
  <c r="AN63" i="34"/>
  <c r="AB63" i="34"/>
  <c r="AN35" i="34"/>
  <c r="AB35" i="34"/>
  <c r="AO58" i="34"/>
  <c r="AC58" i="34"/>
  <c r="AN70" i="34"/>
  <c r="AB70" i="34"/>
  <c r="AN43" i="34"/>
  <c r="AB43" i="34"/>
  <c r="AN57" i="34"/>
  <c r="AB57" i="34"/>
  <c r="AO44" i="34"/>
  <c r="AC44" i="34"/>
  <c r="AO48" i="34"/>
  <c r="AC48" i="34"/>
  <c r="AN58" i="34"/>
  <c r="AB58" i="34"/>
  <c r="AO46" i="34"/>
  <c r="AC46" i="34"/>
  <c r="AN53" i="34"/>
  <c r="AB53" i="34"/>
  <c r="AN64" i="34"/>
  <c r="AB64" i="34"/>
  <c r="AN33" i="34"/>
  <c r="AB33" i="34"/>
  <c r="AN60" i="34"/>
  <c r="AB60" i="34"/>
  <c r="AO61" i="34"/>
  <c r="AC61" i="34"/>
  <c r="AN47" i="34"/>
  <c r="AB47" i="34"/>
  <c r="AO63" i="34"/>
  <c r="AC63" i="34"/>
  <c r="AO36" i="34"/>
  <c r="AC36" i="34"/>
  <c r="AO68" i="34"/>
  <c r="AC68" i="34"/>
  <c r="AN62" i="34"/>
  <c r="AB62" i="34"/>
  <c r="AO35" i="34"/>
  <c r="AC35" i="34"/>
  <c r="AN69" i="34"/>
  <c r="AB69" i="34"/>
  <c r="AN65" i="34"/>
  <c r="AB65" i="34"/>
  <c r="AO45" i="34"/>
  <c r="AC45" i="34"/>
  <c r="AO53" i="34"/>
  <c r="AC53" i="34"/>
  <c r="AO43" i="34"/>
  <c r="AC43" i="34"/>
  <c r="AO64" i="34"/>
  <c r="AC64" i="34"/>
  <c r="AO33" i="34"/>
  <c r="AC33" i="34"/>
  <c r="AO60" i="34"/>
  <c r="AC60" i="34"/>
  <c r="AN52" i="34"/>
  <c r="AB52" i="34"/>
  <c r="AO39" i="34"/>
  <c r="AC39" i="34"/>
  <c r="AO47" i="34"/>
  <c r="AC47" i="34"/>
  <c r="AO59" i="34"/>
  <c r="AC59" i="34"/>
  <c r="AO62" i="34"/>
  <c r="AC62" i="34"/>
  <c r="AO69" i="34"/>
  <c r="AC69" i="34"/>
  <c r="AO65" i="34"/>
  <c r="AC65" i="34"/>
  <c r="AN45" i="34"/>
  <c r="AB45" i="34"/>
  <c r="AO56" i="34"/>
  <c r="AC56" i="34"/>
  <c r="AO38" i="34"/>
  <c r="AC38" i="34"/>
  <c r="AN37" i="34"/>
  <c r="AB37" i="34"/>
  <c r="AO52" i="34"/>
  <c r="AC52" i="34"/>
  <c r="AN51" i="34"/>
  <c r="AB51" i="34"/>
  <c r="AN66" i="34"/>
  <c r="AB66" i="34"/>
  <c r="AN39" i="34"/>
  <c r="AB39" i="34"/>
  <c r="AN55" i="34"/>
  <c r="AB55" i="34"/>
  <c r="AN56" i="34"/>
  <c r="AB56" i="34"/>
  <c r="AO54" i="34"/>
  <c r="AC54" i="34"/>
  <c r="AN38" i="34"/>
  <c r="AB38" i="34"/>
  <c r="AO37" i="34"/>
  <c r="AC37" i="34"/>
  <c r="AN41" i="34"/>
  <c r="AB41" i="34"/>
  <c r="AO32" i="34"/>
  <c r="AC32" i="34"/>
  <c r="AO67" i="34"/>
  <c r="AC67" i="34"/>
  <c r="AO66" i="34"/>
  <c r="AC66" i="34"/>
  <c r="AN61" i="34"/>
  <c r="AB61" i="34"/>
  <c r="AO55" i="34"/>
  <c r="AC55" i="34"/>
  <c r="AN54" i="34"/>
  <c r="AB54" i="34"/>
  <c r="AN34" i="34"/>
  <c r="AB34" i="34"/>
  <c r="AO31" i="34"/>
  <c r="AN31" i="34"/>
  <c r="AO30" i="34"/>
  <c r="AC30" i="34"/>
  <c r="AN30" i="34"/>
  <c r="AB30" i="34"/>
  <c r="G57" i="20"/>
  <c r="H57" i="20"/>
  <c r="G50" i="20"/>
  <c r="H50" i="20"/>
  <c r="H53" i="20"/>
  <c r="G53" i="20"/>
  <c r="G48" i="20"/>
  <c r="H48" i="20"/>
  <c r="G58" i="20"/>
  <c r="H58" i="20"/>
  <c r="H54" i="20"/>
  <c r="G54" i="20"/>
  <c r="A25" i="20"/>
  <c r="G49" i="20"/>
  <c r="H49" i="20"/>
  <c r="G59" i="20"/>
  <c r="H59" i="20"/>
  <c r="H52" i="20"/>
  <c r="G52" i="20"/>
  <c r="G60" i="20"/>
  <c r="H60" i="20"/>
  <c r="G56" i="20"/>
  <c r="H56" i="20"/>
  <c r="H51" i="20"/>
  <c r="G51" i="20"/>
  <c r="H47" i="20"/>
  <c r="G47" i="20"/>
  <c r="H55" i="20"/>
  <c r="G55" i="20"/>
  <c r="A65" i="22"/>
  <c r="G66" i="21"/>
  <c r="H66" i="21"/>
  <c r="A60" i="22"/>
  <c r="H61" i="21"/>
  <c r="G61" i="21"/>
  <c r="A64" i="22"/>
  <c r="G65" i="21"/>
  <c r="H65" i="21"/>
  <c r="A61" i="22"/>
  <c r="G62" i="21"/>
  <c r="H62" i="21"/>
  <c r="A63" i="22"/>
  <c r="G64" i="21"/>
  <c r="H64" i="21"/>
  <c r="A62" i="22"/>
  <c r="H63" i="21"/>
  <c r="G63" i="21"/>
  <c r="H39" i="19"/>
  <c r="A47" i="21"/>
  <c r="A55" i="21"/>
  <c r="A49" i="21"/>
  <c r="A52" i="21"/>
  <c r="A60" i="21"/>
  <c r="A59" i="21"/>
  <c r="A56" i="21"/>
  <c r="A54" i="21"/>
  <c r="A32" i="20"/>
  <c r="H32" i="19"/>
  <c r="H54" i="19" s="1"/>
  <c r="A28" i="20"/>
  <c r="H28" i="19"/>
  <c r="H50" i="19" s="1"/>
  <c r="A33" i="20"/>
  <c r="H33" i="19"/>
  <c r="H55" i="19" s="1"/>
  <c r="A48" i="21"/>
  <c r="A37" i="20"/>
  <c r="H37" i="19"/>
  <c r="H59" i="19" s="1"/>
  <c r="A51" i="21"/>
  <c r="A34" i="20"/>
  <c r="H34" i="19"/>
  <c r="H56" i="19" s="1"/>
  <c r="A35" i="20"/>
  <c r="H35" i="19"/>
  <c r="H57" i="19" s="1"/>
  <c r="H25" i="19"/>
  <c r="H47" i="19" s="1"/>
  <c r="A26" i="20"/>
  <c r="H26" i="19"/>
  <c r="H48" i="19" s="1"/>
  <c r="A50" i="21"/>
  <c r="A57" i="21"/>
  <c r="A36" i="20"/>
  <c r="H36" i="19"/>
  <c r="H58" i="19" s="1"/>
  <c r="A38" i="20"/>
  <c r="H38" i="19"/>
  <c r="H60" i="19" s="1"/>
  <c r="A27" i="20"/>
  <c r="H27" i="19"/>
  <c r="H49" i="19" s="1"/>
  <c r="A40" i="20"/>
  <c r="H40" i="19"/>
  <c r="A53" i="21"/>
  <c r="A29" i="20"/>
  <c r="H29" i="19"/>
  <c r="H51" i="19" s="1"/>
  <c r="A41" i="20"/>
  <c r="H41" i="19"/>
  <c r="A30" i="20"/>
  <c r="H30" i="19"/>
  <c r="H52" i="19" s="1"/>
  <c r="A42" i="20"/>
  <c r="H42" i="19"/>
  <c r="A58" i="21"/>
  <c r="A31" i="20"/>
  <c r="H31" i="19"/>
  <c r="H53" i="19" s="1"/>
  <c r="A43" i="20"/>
  <c r="H43" i="19"/>
  <c r="Z12" i="20"/>
  <c r="AC6" i="20"/>
  <c r="Z9" i="20"/>
  <c r="AC16" i="20"/>
  <c r="AE6" i="20"/>
  <c r="Z17" i="20"/>
  <c r="AA7" i="20"/>
  <c r="AA10" i="20"/>
  <c r="AA14" i="20"/>
  <c r="AB17" i="20"/>
  <c r="AA6" i="20"/>
  <c r="AA12" i="20"/>
  <c r="Z13" i="20"/>
  <c r="I9" i="22"/>
  <c r="AB9" i="20"/>
  <c r="Z10" i="20"/>
  <c r="AA17" i="20"/>
  <c r="AB7" i="20"/>
  <c r="AB14" i="20"/>
  <c r="AC7" i="20"/>
  <c r="Z11" i="20"/>
  <c r="Z15" i="20"/>
  <c r="AD17" i="20"/>
  <c r="AA8" i="20"/>
  <c r="AA16" i="20"/>
  <c r="AB8" i="20"/>
  <c r="AB16" i="20"/>
  <c r="AA9" i="20"/>
  <c r="Z7" i="20"/>
  <c r="Z14" i="20"/>
  <c r="AB10" i="20"/>
  <c r="AC17" i="20"/>
  <c r="AD7" i="20"/>
  <c r="AA11" i="20"/>
  <c r="AA15" i="20"/>
  <c r="Z6" i="20"/>
  <c r="Z8" i="20"/>
  <c r="Z16" i="20"/>
  <c r="AB6" i="20"/>
  <c r="AB12" i="20"/>
  <c r="AD6" i="20"/>
  <c r="AA13" i="20"/>
  <c r="AD16" i="20"/>
  <c r="Z4" i="20"/>
  <c r="AB13" i="20"/>
  <c r="AE7" i="20"/>
  <c r="AB11" i="20"/>
  <c r="AB15" i="20"/>
  <c r="J5" i="20"/>
  <c r="J5" i="21" s="1"/>
  <c r="T5" i="21" s="1"/>
  <c r="K5" i="20"/>
  <c r="K5" i="21" s="1"/>
  <c r="U5" i="21" s="1"/>
  <c r="G5" i="20"/>
  <c r="L5" i="20"/>
  <c r="L5" i="21" s="1"/>
  <c r="V5" i="21" s="1"/>
  <c r="H5" i="20"/>
  <c r="I5" i="20"/>
  <c r="I5" i="21" s="1"/>
  <c r="S5" i="21" s="1"/>
  <c r="A39" i="20"/>
  <c r="T17" i="20"/>
  <c r="S17" i="20"/>
  <c r="R17" i="20"/>
  <c r="Q17" i="20"/>
  <c r="P17" i="20"/>
  <c r="T16" i="20"/>
  <c r="S16" i="20"/>
  <c r="R16" i="20"/>
  <c r="Q16" i="20"/>
  <c r="P16" i="20"/>
  <c r="R15" i="20"/>
  <c r="Q15" i="20"/>
  <c r="P15" i="20"/>
  <c r="R14" i="20"/>
  <c r="Q14" i="20"/>
  <c r="P14" i="20"/>
  <c r="R13" i="20"/>
  <c r="Q13" i="20"/>
  <c r="P13" i="20"/>
  <c r="R12" i="20"/>
  <c r="Q12" i="20"/>
  <c r="P12" i="20"/>
  <c r="R11" i="20"/>
  <c r="Q11" i="20"/>
  <c r="P11" i="20"/>
  <c r="R10" i="20"/>
  <c r="Q10" i="20"/>
  <c r="P10" i="20"/>
  <c r="R9" i="20"/>
  <c r="Q9" i="20"/>
  <c r="P9" i="20"/>
  <c r="T8" i="20"/>
  <c r="S8" i="20"/>
  <c r="R8" i="20"/>
  <c r="Q8" i="20"/>
  <c r="P8" i="20"/>
  <c r="U7" i="20"/>
  <c r="T7" i="20"/>
  <c r="S7" i="20"/>
  <c r="R7" i="20"/>
  <c r="Q7" i="20"/>
  <c r="P7" i="20"/>
  <c r="U6" i="20"/>
  <c r="T6" i="20"/>
  <c r="S6" i="20"/>
  <c r="R6" i="20"/>
  <c r="Q6" i="20"/>
  <c r="P6" i="20"/>
  <c r="P4" i="20"/>
  <c r="AC62" i="36" l="1"/>
  <c r="AN53" i="36"/>
  <c r="AB59" i="36"/>
  <c r="AN57" i="36"/>
  <c r="AO57" i="36"/>
  <c r="AO52" i="36"/>
  <c r="AN52" i="36"/>
  <c r="AO59" i="36"/>
  <c r="AN62" i="36"/>
  <c r="AN61" i="36"/>
  <c r="AC55" i="36"/>
  <c r="AC61" i="36"/>
  <c r="AC54" i="36"/>
  <c r="AN58" i="36"/>
  <c r="AO63" i="36"/>
  <c r="AN65" i="36"/>
  <c r="AO56" i="36"/>
  <c r="AN70" i="36"/>
  <c r="AO67" i="36"/>
  <c r="AN64" i="36"/>
  <c r="AO68" i="36"/>
  <c r="AO58" i="36"/>
  <c r="AB67" i="36"/>
  <c r="AN56" i="36"/>
  <c r="AB66" i="36"/>
  <c r="AN54" i="36"/>
  <c r="AN55" i="36"/>
  <c r="AN60" i="36"/>
  <c r="AO60" i="36"/>
  <c r="AB51" i="36"/>
  <c r="AC51" i="36"/>
  <c r="AO46" i="36"/>
  <c r="AN35" i="36"/>
  <c r="AN42" i="36"/>
  <c r="AO42" i="36"/>
  <c r="AB46" i="36"/>
  <c r="AO48" i="36"/>
  <c r="AN47" i="36"/>
  <c r="AO37" i="36"/>
  <c r="AN45" i="36"/>
  <c r="AN43" i="36"/>
  <c r="AB43" i="36"/>
  <c r="AO45" i="36"/>
  <c r="AC45" i="36"/>
  <c r="AO43" i="36"/>
  <c r="AO33" i="36"/>
  <c r="AC33" i="36"/>
  <c r="AO44" i="36"/>
  <c r="AC44" i="36"/>
  <c r="AN32" i="36"/>
  <c r="AO41" i="36"/>
  <c r="AC41" i="36"/>
  <c r="AO38" i="36"/>
  <c r="AC38" i="36"/>
  <c r="AN41" i="36"/>
  <c r="AB41" i="36"/>
  <c r="AN44" i="36"/>
  <c r="AB44" i="36"/>
  <c r="AN36" i="36"/>
  <c r="AN34" i="36"/>
  <c r="AB34" i="36"/>
  <c r="AO36" i="36"/>
  <c r="AC36" i="36"/>
  <c r="AN40" i="36"/>
  <c r="AN30" i="36"/>
  <c r="AB30" i="36"/>
  <c r="AO30" i="36"/>
  <c r="AN37" i="36"/>
  <c r="AN38" i="36"/>
  <c r="AN39" i="36"/>
  <c r="AO32" i="36"/>
  <c r="AO47" i="36"/>
  <c r="AO40" i="36"/>
  <c r="AN48" i="36"/>
  <c r="AO39" i="36"/>
  <c r="A64" i="23"/>
  <c r="P64" i="22"/>
  <c r="Q64" i="22"/>
  <c r="Q5" i="20"/>
  <c r="H5" i="21"/>
  <c r="R5" i="21" s="1"/>
  <c r="A62" i="23"/>
  <c r="P62" i="22"/>
  <c r="Q62" i="22"/>
  <c r="A60" i="23"/>
  <c r="P60" i="22"/>
  <c r="Q60" i="22"/>
  <c r="P5" i="20"/>
  <c r="G5" i="21"/>
  <c r="Q5" i="21" s="1"/>
  <c r="A65" i="23"/>
  <c r="Q65" i="22"/>
  <c r="P65" i="22"/>
  <c r="A61" i="23"/>
  <c r="P61" i="22"/>
  <c r="Q61" i="22"/>
  <c r="A63" i="23"/>
  <c r="P63" i="22"/>
  <c r="Q63" i="22"/>
  <c r="H25" i="20"/>
  <c r="G25" i="20"/>
  <c r="I13" i="22"/>
  <c r="J6" i="22"/>
  <c r="A56" i="22"/>
  <c r="G57" i="21"/>
  <c r="H57" i="21"/>
  <c r="J17" i="22"/>
  <c r="G13" i="22"/>
  <c r="H7" i="22"/>
  <c r="G12" i="22"/>
  <c r="A49" i="22"/>
  <c r="G50" i="21"/>
  <c r="H50" i="21"/>
  <c r="A54" i="22"/>
  <c r="G55" i="21"/>
  <c r="H55" i="21"/>
  <c r="A46" i="22"/>
  <c r="H47" i="21"/>
  <c r="G47" i="21"/>
  <c r="I16" i="22"/>
  <c r="A51" i="22"/>
  <c r="H52" i="21"/>
  <c r="G52" i="21"/>
  <c r="A48" i="22"/>
  <c r="G49" i="21"/>
  <c r="H49" i="21"/>
  <c r="G16" i="22"/>
  <c r="K16" i="22"/>
  <c r="I14" i="22"/>
  <c r="A52" i="22"/>
  <c r="G53" i="21"/>
  <c r="H53" i="21"/>
  <c r="I10" i="22"/>
  <c r="H12" i="22"/>
  <c r="I6" i="22"/>
  <c r="H10" i="22"/>
  <c r="A47" i="22"/>
  <c r="G48" i="21"/>
  <c r="H48" i="21"/>
  <c r="G4" i="22"/>
  <c r="J7" i="22"/>
  <c r="V7" i="22" s="1"/>
  <c r="G8" i="22"/>
  <c r="H16" i="22"/>
  <c r="G17" i="22"/>
  <c r="I15" i="22"/>
  <c r="H13" i="22"/>
  <c r="G6" i="22"/>
  <c r="G14" i="22"/>
  <c r="H8" i="22"/>
  <c r="I7" i="22"/>
  <c r="H6" i="22"/>
  <c r="L6" i="22"/>
  <c r="I11" i="22"/>
  <c r="K6" i="22"/>
  <c r="H15" i="22"/>
  <c r="G7" i="22"/>
  <c r="K17" i="22"/>
  <c r="H17" i="22"/>
  <c r="I17" i="22"/>
  <c r="J16" i="22"/>
  <c r="A53" i="22"/>
  <c r="G54" i="21"/>
  <c r="H54" i="21"/>
  <c r="A55" i="22"/>
  <c r="G56" i="21"/>
  <c r="H56" i="21"/>
  <c r="L7" i="22"/>
  <c r="I12" i="22"/>
  <c r="H9" i="22"/>
  <c r="H14" i="22"/>
  <c r="A58" i="22"/>
  <c r="G59" i="21"/>
  <c r="H59" i="21"/>
  <c r="K7" i="22"/>
  <c r="A57" i="22"/>
  <c r="G58" i="21"/>
  <c r="H58" i="21"/>
  <c r="G15" i="22"/>
  <c r="G10" i="22"/>
  <c r="G9" i="22"/>
  <c r="A50" i="22"/>
  <c r="H51" i="21"/>
  <c r="G51" i="21"/>
  <c r="A59" i="22"/>
  <c r="G60" i="21"/>
  <c r="H60" i="21"/>
  <c r="G31" i="20"/>
  <c r="H31" i="20"/>
  <c r="H40" i="20"/>
  <c r="G40" i="20"/>
  <c r="G35" i="20"/>
  <c r="H35" i="20"/>
  <c r="G32" i="20"/>
  <c r="H32" i="20"/>
  <c r="H27" i="20"/>
  <c r="G27" i="20"/>
  <c r="H39" i="20"/>
  <c r="G39" i="20"/>
  <c r="G42" i="20"/>
  <c r="H42" i="20"/>
  <c r="G34" i="20"/>
  <c r="H34" i="20"/>
  <c r="H38" i="20"/>
  <c r="G38" i="20"/>
  <c r="H30" i="20"/>
  <c r="G30" i="20"/>
  <c r="G36" i="20"/>
  <c r="H36" i="20"/>
  <c r="H37" i="20"/>
  <c r="G37" i="20"/>
  <c r="G41" i="20"/>
  <c r="H41" i="20"/>
  <c r="H29" i="20"/>
  <c r="G29" i="20"/>
  <c r="G33" i="20"/>
  <c r="H33" i="20"/>
  <c r="G43" i="20"/>
  <c r="H43" i="20"/>
  <c r="H26" i="20"/>
  <c r="G26" i="20"/>
  <c r="H28" i="20"/>
  <c r="G28" i="20"/>
  <c r="A32" i="21"/>
  <c r="A27" i="21"/>
  <c r="A29" i="21"/>
  <c r="A28" i="21"/>
  <c r="A40" i="21"/>
  <c r="A34" i="21"/>
  <c r="A33" i="21"/>
  <c r="A37" i="21"/>
  <c r="A42" i="21"/>
  <c r="A41" i="21"/>
  <c r="A26" i="21"/>
  <c r="A35" i="21"/>
  <c r="A25" i="21"/>
  <c r="A38" i="21"/>
  <c r="A43" i="21"/>
  <c r="A36" i="21"/>
  <c r="A31" i="21"/>
  <c r="A30" i="21"/>
  <c r="A39" i="21"/>
  <c r="U9" i="22"/>
  <c r="AC5" i="20"/>
  <c r="S5" i="20"/>
  <c r="AE5" i="20"/>
  <c r="U5" i="20"/>
  <c r="AD5" i="20"/>
  <c r="Z5" i="20"/>
  <c r="T5" i="20"/>
  <c r="H11" i="22"/>
  <c r="AB5" i="20"/>
  <c r="AA5" i="20"/>
  <c r="G11" i="22"/>
  <c r="I8" i="22"/>
  <c r="R5" i="20"/>
  <c r="T17" i="18"/>
  <c r="S17" i="18"/>
  <c r="R17" i="18"/>
  <c r="Q17" i="18"/>
  <c r="P17" i="18"/>
  <c r="T16" i="18"/>
  <c r="S16" i="18"/>
  <c r="R16" i="18"/>
  <c r="Q16" i="18"/>
  <c r="P16" i="18"/>
  <c r="R15" i="18"/>
  <c r="Q15" i="18"/>
  <c r="P15" i="18"/>
  <c r="R14" i="18"/>
  <c r="Q14" i="18"/>
  <c r="P14" i="18"/>
  <c r="R13" i="18"/>
  <c r="Q13" i="18"/>
  <c r="P13" i="18"/>
  <c r="R12" i="18"/>
  <c r="Q12" i="18"/>
  <c r="P12" i="18"/>
  <c r="R11" i="18"/>
  <c r="Q11" i="18"/>
  <c r="P11" i="18"/>
  <c r="R10" i="18"/>
  <c r="Q10" i="18"/>
  <c r="P10" i="18"/>
  <c r="R9" i="18"/>
  <c r="Q9" i="18"/>
  <c r="P9" i="18"/>
  <c r="T8" i="18"/>
  <c r="S8" i="18"/>
  <c r="R8" i="18"/>
  <c r="Q8" i="18"/>
  <c r="P8" i="18"/>
  <c r="U7" i="18"/>
  <c r="T7" i="18"/>
  <c r="S7" i="18"/>
  <c r="R7" i="18"/>
  <c r="Q7" i="18"/>
  <c r="P7" i="18"/>
  <c r="U6" i="18"/>
  <c r="T6" i="18"/>
  <c r="S6" i="18"/>
  <c r="R6" i="18"/>
  <c r="Q6" i="18"/>
  <c r="P6" i="18"/>
  <c r="U5" i="18"/>
  <c r="T5" i="18"/>
  <c r="S5" i="18"/>
  <c r="R5" i="18"/>
  <c r="Q5" i="18"/>
  <c r="P5" i="18"/>
  <c r="P4" i="18"/>
  <c r="U60" i="23" l="1"/>
  <c r="T60" i="23"/>
  <c r="U63" i="23"/>
  <c r="T63" i="23"/>
  <c r="U62" i="23"/>
  <c r="T62" i="23"/>
  <c r="U61" i="23"/>
  <c r="T61" i="23"/>
  <c r="U65" i="23"/>
  <c r="T65" i="23"/>
  <c r="U64" i="23"/>
  <c r="T64" i="23"/>
  <c r="A50" i="23"/>
  <c r="P50" i="22"/>
  <c r="Q50" i="22"/>
  <c r="A55" i="23"/>
  <c r="P55" i="22"/>
  <c r="Q55" i="22"/>
  <c r="A58" i="23"/>
  <c r="Q58" i="22"/>
  <c r="P58" i="22"/>
  <c r="T15" i="22"/>
  <c r="A46" i="23"/>
  <c r="Q46" i="22"/>
  <c r="P46" i="22"/>
  <c r="A53" i="23"/>
  <c r="P53" i="22"/>
  <c r="Q53" i="22"/>
  <c r="S15" i="22"/>
  <c r="A54" i="23"/>
  <c r="P54" i="22"/>
  <c r="Q54" i="22"/>
  <c r="A48" i="23"/>
  <c r="P48" i="22"/>
  <c r="Q48" i="22"/>
  <c r="A56" i="23"/>
  <c r="P56" i="22"/>
  <c r="Q56" i="22"/>
  <c r="A57" i="23"/>
  <c r="P57" i="22"/>
  <c r="Q57" i="22"/>
  <c r="A49" i="23"/>
  <c r="P49" i="22"/>
  <c r="Q49" i="22"/>
  <c r="A59" i="23"/>
  <c r="P59" i="22"/>
  <c r="Q59" i="22"/>
  <c r="U15" i="22"/>
  <c r="A52" i="23"/>
  <c r="P52" i="22"/>
  <c r="Q52" i="22"/>
  <c r="A51" i="23"/>
  <c r="P51" i="22"/>
  <c r="Q51" i="22"/>
  <c r="A47" i="23"/>
  <c r="P47" i="22"/>
  <c r="Q47" i="22"/>
  <c r="U11" i="22"/>
  <c r="W6" i="22"/>
  <c r="T17" i="22"/>
  <c r="U14" i="22"/>
  <c r="S9" i="22"/>
  <c r="T10" i="22"/>
  <c r="S4" i="22"/>
  <c r="X6" i="22"/>
  <c r="U7" i="22"/>
  <c r="T7" i="22"/>
  <c r="T13" i="22"/>
  <c r="X7" i="22"/>
  <c r="S12" i="22"/>
  <c r="S17" i="22"/>
  <c r="S7" i="22"/>
  <c r="U16" i="22"/>
  <c r="S10" i="22"/>
  <c r="T16" i="22"/>
  <c r="T8" i="22"/>
  <c r="W16" i="22"/>
  <c r="U6" i="22"/>
  <c r="S14" i="22"/>
  <c r="V16" i="22"/>
  <c r="S16" i="22"/>
  <c r="T9" i="22"/>
  <c r="S8" i="22"/>
  <c r="U13" i="22"/>
  <c r="T12" i="22"/>
  <c r="U10" i="22"/>
  <c r="V17" i="22"/>
  <c r="T14" i="22"/>
  <c r="V6" i="22"/>
  <c r="S13" i="22"/>
  <c r="W7" i="22"/>
  <c r="U12" i="22"/>
  <c r="T6" i="22"/>
  <c r="S6" i="22"/>
  <c r="U17" i="22"/>
  <c r="I5" i="22"/>
  <c r="W17" i="22"/>
  <c r="A39" i="22"/>
  <c r="G39" i="21"/>
  <c r="H39" i="21"/>
  <c r="A42" i="22"/>
  <c r="G42" i="21"/>
  <c r="H42" i="21"/>
  <c r="A37" i="22"/>
  <c r="G37" i="21"/>
  <c r="H37" i="21"/>
  <c r="A30" i="22"/>
  <c r="G30" i="21"/>
  <c r="H30" i="21"/>
  <c r="A33" i="22"/>
  <c r="G33" i="21"/>
  <c r="H33" i="21"/>
  <c r="A41" i="22"/>
  <c r="G41" i="21"/>
  <c r="H41" i="21"/>
  <c r="A31" i="22"/>
  <c r="H31" i="21"/>
  <c r="G31" i="21"/>
  <c r="A34" i="22"/>
  <c r="G34" i="21"/>
  <c r="H34" i="21"/>
  <c r="A40" i="22"/>
  <c r="G40" i="21"/>
  <c r="H40" i="21"/>
  <c r="A43" i="22"/>
  <c r="H43" i="21"/>
  <c r="G43" i="21"/>
  <c r="A27" i="22"/>
  <c r="H27" i="21"/>
  <c r="G27" i="21"/>
  <c r="A28" i="22"/>
  <c r="G28" i="21"/>
  <c r="H28" i="21"/>
  <c r="A38" i="22"/>
  <c r="H38" i="21"/>
  <c r="G38" i="21"/>
  <c r="A29" i="22"/>
  <c r="G29" i="21"/>
  <c r="H29" i="21"/>
  <c r="A32" i="22"/>
  <c r="G32" i="21"/>
  <c r="H32" i="21"/>
  <c r="A36" i="22"/>
  <c r="G36" i="21"/>
  <c r="H36" i="21"/>
  <c r="A25" i="22"/>
  <c r="H25" i="21"/>
  <c r="G25" i="21"/>
  <c r="A35" i="22"/>
  <c r="G35" i="21"/>
  <c r="H35" i="21"/>
  <c r="A26" i="22"/>
  <c r="H26" i="21"/>
  <c r="G26" i="21"/>
  <c r="U8" i="22"/>
  <c r="L5" i="22"/>
  <c r="K5" i="22"/>
  <c r="S11" i="22"/>
  <c r="H5" i="22"/>
  <c r="J5" i="22"/>
  <c r="G5" i="22"/>
  <c r="T11" i="22"/>
  <c r="R14" i="17"/>
  <c r="Q14" i="17"/>
  <c r="P14" i="17"/>
  <c r="T16" i="17"/>
  <c r="S16" i="17"/>
  <c r="R16" i="17"/>
  <c r="Q16" i="17"/>
  <c r="P16" i="17"/>
  <c r="T17" i="17"/>
  <c r="S17" i="17"/>
  <c r="R17" i="17"/>
  <c r="Q17" i="17"/>
  <c r="P17" i="17"/>
  <c r="U59" i="23" l="1"/>
  <c r="T59" i="23"/>
  <c r="T48" i="23"/>
  <c r="U48" i="23"/>
  <c r="U47" i="23"/>
  <c r="T47" i="23"/>
  <c r="T51" i="23"/>
  <c r="U51" i="23"/>
  <c r="U58" i="23"/>
  <c r="T58" i="23"/>
  <c r="U49" i="23"/>
  <c r="T49" i="23"/>
  <c r="T57" i="23"/>
  <c r="U57" i="23"/>
  <c r="U52" i="23"/>
  <c r="T52" i="23"/>
  <c r="T55" i="23"/>
  <c r="U55" i="23"/>
  <c r="U53" i="23"/>
  <c r="T53" i="23"/>
  <c r="U56" i="23"/>
  <c r="T56" i="23"/>
  <c r="U50" i="23"/>
  <c r="T50" i="23"/>
  <c r="U54" i="23"/>
  <c r="T54" i="23"/>
  <c r="U46" i="23"/>
  <c r="T46" i="23"/>
  <c r="A30" i="23"/>
  <c r="Q30" i="22"/>
  <c r="P30" i="22"/>
  <c r="A41" i="23"/>
  <c r="Q41" i="22"/>
  <c r="P41" i="22"/>
  <c r="A36" i="23"/>
  <c r="Q36" i="22"/>
  <c r="P36" i="22"/>
  <c r="A43" i="23"/>
  <c r="P43" i="22"/>
  <c r="Q43" i="22"/>
  <c r="A35" i="23"/>
  <c r="Q35" i="22"/>
  <c r="P35" i="22"/>
  <c r="A42" i="23"/>
  <c r="P42" i="22"/>
  <c r="Q42" i="22"/>
  <c r="A25" i="23"/>
  <c r="Q25" i="22"/>
  <c r="P25" i="22"/>
  <c r="A38" i="23"/>
  <c r="P38" i="22"/>
  <c r="Q38" i="22"/>
  <c r="A40" i="23"/>
  <c r="P40" i="22"/>
  <c r="Q40" i="22"/>
  <c r="A33" i="23"/>
  <c r="P33" i="22"/>
  <c r="Q33" i="22"/>
  <c r="A39" i="23"/>
  <c r="P39" i="22"/>
  <c r="Q39" i="22"/>
  <c r="A29" i="23"/>
  <c r="P29" i="22"/>
  <c r="Q29" i="22"/>
  <c r="A34" i="23"/>
  <c r="P34" i="22"/>
  <c r="Q34" i="22"/>
  <c r="A26" i="23"/>
  <c r="P26" i="22"/>
  <c r="Q26" i="22"/>
  <c r="A32" i="23"/>
  <c r="P32" i="22"/>
  <c r="Q32" i="22"/>
  <c r="A27" i="23"/>
  <c r="P27" i="22"/>
  <c r="Q27" i="22"/>
  <c r="A31" i="23"/>
  <c r="P31" i="22"/>
  <c r="Q31" i="22"/>
  <c r="A37" i="23"/>
  <c r="P37" i="22"/>
  <c r="Q37" i="22"/>
  <c r="A28" i="23"/>
  <c r="P28" i="22"/>
  <c r="Q28" i="22"/>
  <c r="U5" i="22"/>
  <c r="X5" i="22"/>
  <c r="S5" i="22"/>
  <c r="V5" i="22"/>
  <c r="T5" i="22"/>
  <c r="W5" i="22"/>
  <c r="T16" i="16"/>
  <c r="S16" i="16"/>
  <c r="R16" i="16"/>
  <c r="Q16" i="16"/>
  <c r="P16" i="16"/>
  <c r="R17" i="16"/>
  <c r="Q17" i="16"/>
  <c r="P17" i="16"/>
  <c r="R15" i="17"/>
  <c r="Q15" i="17"/>
  <c r="P15" i="17"/>
  <c r="R13" i="17"/>
  <c r="Q13" i="17"/>
  <c r="P13" i="17"/>
  <c r="R12" i="17"/>
  <c r="Q12" i="17"/>
  <c r="P12" i="17"/>
  <c r="R11" i="17"/>
  <c r="Q11" i="17"/>
  <c r="P11" i="17"/>
  <c r="R10" i="17"/>
  <c r="Q10" i="17"/>
  <c r="P10" i="17"/>
  <c r="R9" i="17"/>
  <c r="Q9" i="17"/>
  <c r="P9" i="17"/>
  <c r="T8" i="17"/>
  <c r="S8" i="17"/>
  <c r="R8" i="17"/>
  <c r="Q8" i="17"/>
  <c r="P8" i="17"/>
  <c r="U7" i="17"/>
  <c r="T7" i="17"/>
  <c r="S7" i="17"/>
  <c r="R7" i="17"/>
  <c r="Q7" i="17"/>
  <c r="P7" i="17"/>
  <c r="U6" i="17"/>
  <c r="T6" i="17"/>
  <c r="S6" i="17"/>
  <c r="R6" i="17"/>
  <c r="Q6" i="17"/>
  <c r="P6" i="17"/>
  <c r="U5" i="17"/>
  <c r="T5" i="17"/>
  <c r="S5" i="17"/>
  <c r="R5" i="17"/>
  <c r="Q5" i="17"/>
  <c r="P5" i="17"/>
  <c r="P4" i="17"/>
  <c r="T36" i="23" l="1"/>
  <c r="U36" i="23"/>
  <c r="T37" i="23"/>
  <c r="U37" i="23"/>
  <c r="U26" i="23"/>
  <c r="T26" i="23"/>
  <c r="U33" i="23"/>
  <c r="T33" i="23"/>
  <c r="T42" i="23"/>
  <c r="U42" i="23"/>
  <c r="U41" i="23"/>
  <c r="T41" i="23"/>
  <c r="U39" i="23"/>
  <c r="T39" i="23"/>
  <c r="T25" i="23"/>
  <c r="U25" i="23"/>
  <c r="U28" i="23"/>
  <c r="T28" i="23"/>
  <c r="U34" i="23"/>
  <c r="T34" i="23"/>
  <c r="U30" i="23"/>
  <c r="T30" i="23"/>
  <c r="T40" i="23"/>
  <c r="U40" i="23"/>
  <c r="U27" i="23"/>
  <c r="T27" i="23"/>
  <c r="U29" i="23"/>
  <c r="T29" i="23"/>
  <c r="U38" i="23"/>
  <c r="T38" i="23"/>
  <c r="U43" i="23"/>
  <c r="T43" i="23"/>
  <c r="U32" i="23"/>
  <c r="T32" i="23"/>
  <c r="U31" i="23"/>
  <c r="T31" i="23"/>
  <c r="U35" i="23"/>
  <c r="T35" i="23"/>
  <c r="N47" i="16"/>
  <c r="M47" i="16"/>
  <c r="N46" i="16"/>
  <c r="M46" i="16"/>
  <c r="N45" i="16"/>
  <c r="M45" i="16"/>
  <c r="N44" i="16"/>
  <c r="M44" i="16"/>
  <c r="N43" i="16"/>
  <c r="M43" i="16"/>
  <c r="N42" i="16"/>
  <c r="M42" i="16"/>
  <c r="N41" i="16"/>
  <c r="M41" i="16"/>
  <c r="N40" i="16"/>
  <c r="M40" i="16"/>
  <c r="N39" i="16"/>
  <c r="M39" i="16"/>
  <c r="N38" i="16"/>
  <c r="M38" i="16"/>
  <c r="N37" i="16"/>
  <c r="M37" i="16"/>
  <c r="N36" i="16"/>
  <c r="M36" i="16"/>
  <c r="N35" i="16"/>
  <c r="M35" i="16"/>
  <c r="N34" i="16"/>
  <c r="M34" i="16"/>
  <c r="N33" i="16"/>
  <c r="M33" i="16"/>
  <c r="N32" i="16"/>
  <c r="M32" i="16"/>
  <c r="N31" i="16"/>
  <c r="M31" i="16"/>
  <c r="N30" i="16"/>
  <c r="M30" i="16"/>
  <c r="N29" i="16"/>
  <c r="M29" i="16"/>
  <c r="N47" i="15"/>
  <c r="M47" i="15"/>
  <c r="N46" i="15"/>
  <c r="M46" i="15"/>
  <c r="N45" i="15"/>
  <c r="M45" i="15"/>
  <c r="N44" i="15"/>
  <c r="M44" i="15"/>
  <c r="N43" i="15"/>
  <c r="M43" i="15"/>
  <c r="N42" i="15"/>
  <c r="M42" i="15"/>
  <c r="N41" i="15"/>
  <c r="M41" i="15"/>
  <c r="N40" i="15"/>
  <c r="M40" i="15"/>
  <c r="N39" i="15"/>
  <c r="M39" i="15"/>
  <c r="N38" i="15"/>
  <c r="M38" i="15"/>
  <c r="N37" i="15"/>
  <c r="M37" i="15"/>
  <c r="N36" i="15"/>
  <c r="M36" i="15"/>
  <c r="N35" i="15"/>
  <c r="M35" i="15"/>
  <c r="N34" i="15"/>
  <c r="M34" i="15"/>
  <c r="N33" i="15"/>
  <c r="M33" i="15"/>
  <c r="N32" i="15"/>
  <c r="M32" i="15"/>
  <c r="N31" i="15"/>
  <c r="M31" i="15"/>
  <c r="N30" i="15"/>
  <c r="M30" i="15"/>
  <c r="N29" i="15"/>
  <c r="M29" i="15"/>
  <c r="R14" i="16" l="1"/>
  <c r="Q14" i="16"/>
  <c r="P14" i="16"/>
  <c r="R13" i="16"/>
  <c r="Q13" i="16"/>
  <c r="P13" i="16"/>
  <c r="R11" i="16"/>
  <c r="Q11" i="16"/>
  <c r="P11" i="16"/>
  <c r="R10" i="16"/>
  <c r="Q10" i="16"/>
  <c r="P10" i="16"/>
  <c r="T8" i="16"/>
  <c r="S8" i="16"/>
  <c r="R8" i="16"/>
  <c r="Q8" i="16"/>
  <c r="P8" i="16"/>
  <c r="U7" i="16"/>
  <c r="T7" i="16"/>
  <c r="S7" i="16"/>
  <c r="R7" i="16"/>
  <c r="Q7" i="16"/>
  <c r="P7" i="16"/>
  <c r="U5" i="16"/>
  <c r="T5" i="16"/>
  <c r="S5" i="16"/>
  <c r="R5" i="16"/>
  <c r="Q5" i="16"/>
  <c r="P5" i="16"/>
  <c r="T15" i="16"/>
  <c r="S15" i="16"/>
  <c r="R15" i="16"/>
  <c r="Q15" i="16"/>
  <c r="P15" i="16"/>
  <c r="R12" i="16"/>
  <c r="Q12" i="16"/>
  <c r="P12" i="16"/>
  <c r="R9" i="16"/>
  <c r="Q9" i="16"/>
  <c r="P9" i="16"/>
  <c r="U6" i="16"/>
  <c r="T6" i="16"/>
  <c r="S6" i="16"/>
  <c r="R6" i="16"/>
  <c r="Q6" i="16"/>
  <c r="P6" i="16"/>
  <c r="P4" i="16"/>
  <c r="A52" i="9" l="1"/>
  <c r="A53" i="10" s="1"/>
  <c r="A53" i="12" s="1"/>
  <c r="A47" i="13" s="1"/>
  <c r="A51" i="9"/>
  <c r="A52" i="10" s="1"/>
  <c r="A52" i="12" s="1"/>
  <c r="A46" i="13" s="1"/>
  <c r="A50" i="9"/>
  <c r="A49" i="9"/>
  <c r="A50" i="10" s="1"/>
  <c r="A50" i="12" s="1"/>
  <c r="A44" i="13" s="1"/>
  <c r="A48" i="9"/>
  <c r="A47" i="9"/>
  <c r="A48" i="10" s="1"/>
  <c r="A48" i="12" s="1"/>
  <c r="A42" i="13" s="1"/>
  <c r="A46" i="9"/>
  <c r="A47" i="10" s="1"/>
  <c r="A47" i="12" s="1"/>
  <c r="A41" i="13" s="1"/>
  <c r="A45" i="9"/>
  <c r="A46" i="10" s="1"/>
  <c r="A46" i="12" s="1"/>
  <c r="A40" i="13" s="1"/>
  <c r="A44" i="9"/>
  <c r="A45" i="10" s="1"/>
  <c r="A45" i="12" s="1"/>
  <c r="A39" i="13" s="1"/>
  <c r="A43" i="9"/>
  <c r="A44" i="10" s="1"/>
  <c r="A44" i="12" s="1"/>
  <c r="A38" i="13" s="1"/>
  <c r="A42" i="9"/>
  <c r="A43" i="10" s="1"/>
  <c r="A43" i="12" s="1"/>
  <c r="A37" i="13" s="1"/>
  <c r="A41" i="9"/>
  <c r="A42" i="10" s="1"/>
  <c r="A42" i="12" s="1"/>
  <c r="A36" i="13" s="1"/>
  <c r="A40" i="9"/>
  <c r="A41" i="10" s="1"/>
  <c r="A41" i="12" s="1"/>
  <c r="A35" i="13" s="1"/>
  <c r="A39" i="9"/>
  <c r="A40" i="10" s="1"/>
  <c r="A40" i="12" s="1"/>
  <c r="A34" i="13" s="1"/>
  <c r="A38" i="9"/>
  <c r="A39" i="10" s="1"/>
  <c r="A39" i="12" s="1"/>
  <c r="A33" i="13" s="1"/>
  <c r="A37" i="9"/>
  <c r="A38" i="10" s="1"/>
  <c r="A38" i="12" s="1"/>
  <c r="A32" i="13" s="1"/>
  <c r="A36" i="9"/>
  <c r="A35" i="9"/>
  <c r="A36" i="10" s="1"/>
  <c r="A36" i="12" s="1"/>
  <c r="A30" i="13" s="1"/>
  <c r="A34" i="9"/>
  <c r="C23" i="9"/>
  <c r="C24" i="10" s="1"/>
  <c r="C24" i="12" s="1"/>
  <c r="B20" i="13" s="1"/>
  <c r="C22" i="9"/>
  <c r="C23" i="10" s="1"/>
  <c r="C23" i="12" s="1"/>
  <c r="B19" i="13" s="1"/>
  <c r="K19" i="9"/>
  <c r="K20" i="10" s="1"/>
  <c r="K20" i="12" s="1"/>
  <c r="J17" i="13" s="1"/>
  <c r="J19" i="9"/>
  <c r="J20" i="10" s="1"/>
  <c r="J20" i="12" s="1"/>
  <c r="I17" i="13" s="1"/>
  <c r="I19" i="9"/>
  <c r="H19" i="9"/>
  <c r="H20" i="10" s="1"/>
  <c r="H20" i="12" s="1"/>
  <c r="G17" i="13" s="1"/>
  <c r="G19" i="9"/>
  <c r="G20" i="10" s="1"/>
  <c r="G20" i="12" s="1"/>
  <c r="F17" i="13" s="1"/>
  <c r="K18" i="9"/>
  <c r="K19" i="10" s="1"/>
  <c r="K19" i="12" s="1"/>
  <c r="J16" i="13" s="1"/>
  <c r="J18" i="9"/>
  <c r="J19" i="10" s="1"/>
  <c r="J19" i="12" s="1"/>
  <c r="I16" i="13" s="1"/>
  <c r="I18" i="9"/>
  <c r="I19" i="10" s="1"/>
  <c r="I19" i="12" s="1"/>
  <c r="H16" i="13" s="1"/>
  <c r="H18" i="9"/>
  <c r="H19" i="10" s="1"/>
  <c r="H19" i="12" s="1"/>
  <c r="G16" i="13" s="1"/>
  <c r="G18" i="9"/>
  <c r="G19" i="10" s="1"/>
  <c r="G19" i="12" s="1"/>
  <c r="F16" i="13" s="1"/>
  <c r="K17" i="9"/>
  <c r="J17" i="9"/>
  <c r="I17" i="9"/>
  <c r="I18" i="10" s="1"/>
  <c r="I18" i="12" s="1"/>
  <c r="H15" i="13" s="1"/>
  <c r="H17" i="9"/>
  <c r="H18" i="10" s="1"/>
  <c r="H18" i="12" s="1"/>
  <c r="G15" i="13" s="1"/>
  <c r="G17" i="9"/>
  <c r="G18" i="10" s="1"/>
  <c r="G18" i="12" s="1"/>
  <c r="F15" i="13" s="1"/>
  <c r="K16" i="9"/>
  <c r="J16" i="9"/>
  <c r="I16" i="9"/>
  <c r="I17" i="10" s="1"/>
  <c r="I17" i="12" s="1"/>
  <c r="H14" i="13" s="1"/>
  <c r="H16" i="9"/>
  <c r="H17" i="10" s="1"/>
  <c r="H17" i="12" s="1"/>
  <c r="G14" i="13" s="1"/>
  <c r="G16" i="9"/>
  <c r="K15" i="9"/>
  <c r="J15" i="9"/>
  <c r="I15" i="9"/>
  <c r="I16" i="10" s="1"/>
  <c r="I16" i="12" s="1"/>
  <c r="H13" i="13" s="1"/>
  <c r="H15" i="9"/>
  <c r="H16" i="10" s="1"/>
  <c r="H16" i="12" s="1"/>
  <c r="G13" i="13" s="1"/>
  <c r="G15" i="9"/>
  <c r="G16" i="10" s="1"/>
  <c r="G16" i="12" s="1"/>
  <c r="F13" i="13" s="1"/>
  <c r="K14" i="9"/>
  <c r="J14" i="9"/>
  <c r="I14" i="9"/>
  <c r="I15" i="10" s="1"/>
  <c r="I15" i="12" s="1"/>
  <c r="H12" i="13" s="1"/>
  <c r="H14" i="9"/>
  <c r="H15" i="10" s="1"/>
  <c r="H15" i="12" s="1"/>
  <c r="G12" i="13" s="1"/>
  <c r="G14" i="9"/>
  <c r="G15" i="10" s="1"/>
  <c r="G15" i="12" s="1"/>
  <c r="F12" i="13" s="1"/>
  <c r="K13" i="9"/>
  <c r="J13" i="9"/>
  <c r="I13" i="9"/>
  <c r="I14" i="10" s="1"/>
  <c r="I14" i="12" s="1"/>
  <c r="H11" i="13" s="1"/>
  <c r="H13" i="9"/>
  <c r="G13" i="9"/>
  <c r="K12" i="9"/>
  <c r="J12" i="9"/>
  <c r="I12" i="9"/>
  <c r="I13" i="10" s="1"/>
  <c r="I13" i="12" s="1"/>
  <c r="H10" i="13" s="1"/>
  <c r="H12" i="9"/>
  <c r="H13" i="10" s="1"/>
  <c r="H13" i="12" s="1"/>
  <c r="G10" i="13" s="1"/>
  <c r="G12" i="9"/>
  <c r="G13" i="10" s="1"/>
  <c r="G13" i="12" s="1"/>
  <c r="F10" i="13" s="1"/>
  <c r="K11" i="9"/>
  <c r="J11" i="9"/>
  <c r="I11" i="9"/>
  <c r="I12" i="10" s="1"/>
  <c r="I12" i="12" s="1"/>
  <c r="H9" i="13" s="1"/>
  <c r="H11" i="9"/>
  <c r="G11" i="9"/>
  <c r="G12" i="10" s="1"/>
  <c r="G12" i="12" s="1"/>
  <c r="F9" i="13" s="1"/>
  <c r="K10" i="9"/>
  <c r="J10" i="9"/>
  <c r="I10" i="9"/>
  <c r="I11" i="10" s="1"/>
  <c r="I11" i="12" s="1"/>
  <c r="H8" i="13" s="1"/>
  <c r="H10" i="9"/>
  <c r="H11" i="10" s="1"/>
  <c r="H11" i="12" s="1"/>
  <c r="G8" i="13" s="1"/>
  <c r="G10" i="9"/>
  <c r="G11" i="10" s="1"/>
  <c r="G11" i="12" s="1"/>
  <c r="F8" i="13" s="1"/>
  <c r="K9" i="9"/>
  <c r="K10" i="10" s="1"/>
  <c r="K10" i="12" s="1"/>
  <c r="J7" i="13" s="1"/>
  <c r="J9" i="9"/>
  <c r="I9" i="9"/>
  <c r="I10" i="10" s="1"/>
  <c r="I10" i="12" s="1"/>
  <c r="H7" i="13" s="1"/>
  <c r="H9" i="9"/>
  <c r="H10" i="10" s="1"/>
  <c r="H10" i="12" s="1"/>
  <c r="G7" i="13" s="1"/>
  <c r="G9" i="9"/>
  <c r="G10" i="10" s="1"/>
  <c r="G10" i="12" s="1"/>
  <c r="F7" i="13" s="1"/>
  <c r="K8" i="9"/>
  <c r="K9" i="10" s="1"/>
  <c r="K9" i="12" s="1"/>
  <c r="J6" i="13" s="1"/>
  <c r="J8" i="9"/>
  <c r="J9" i="10" s="1"/>
  <c r="J9" i="12" s="1"/>
  <c r="I6" i="13" s="1"/>
  <c r="I8" i="9"/>
  <c r="I9" i="10" s="1"/>
  <c r="I9" i="12" s="1"/>
  <c r="H6" i="13" s="1"/>
  <c r="H8" i="9"/>
  <c r="H9" i="10" s="1"/>
  <c r="H9" i="12" s="1"/>
  <c r="G6" i="13" s="1"/>
  <c r="G8" i="9"/>
  <c r="G9" i="10" s="1"/>
  <c r="G9" i="12" s="1"/>
  <c r="F6" i="13" s="1"/>
  <c r="K7" i="9"/>
  <c r="K8" i="10" s="1"/>
  <c r="K8" i="12" s="1"/>
  <c r="J5" i="13" s="1"/>
  <c r="J7" i="9"/>
  <c r="J8" i="10" s="1"/>
  <c r="J8" i="12" s="1"/>
  <c r="I5" i="13" s="1"/>
  <c r="I7" i="9"/>
  <c r="I8" i="10" s="1"/>
  <c r="I8" i="12" s="1"/>
  <c r="H5" i="13" s="1"/>
  <c r="H7" i="9"/>
  <c r="H8" i="10" s="1"/>
  <c r="H8" i="12" s="1"/>
  <c r="G5" i="13" s="1"/>
  <c r="G7" i="9"/>
  <c r="G8" i="10" s="1"/>
  <c r="A51" i="10"/>
  <c r="A51" i="12" s="1"/>
  <c r="A45" i="13" s="1"/>
  <c r="A49" i="10"/>
  <c r="A49" i="12" s="1"/>
  <c r="A43" i="13" s="1"/>
  <c r="A37" i="10"/>
  <c r="A37" i="12" s="1"/>
  <c r="A31" i="13" s="1"/>
  <c r="A35" i="10"/>
  <c r="A35" i="12" s="1"/>
  <c r="A29" i="13" s="1"/>
  <c r="I20" i="10"/>
  <c r="I20" i="12" s="1"/>
  <c r="H17" i="13" s="1"/>
  <c r="G17" i="10"/>
  <c r="G17" i="12" s="1"/>
  <c r="F14" i="13" s="1"/>
  <c r="H14" i="10"/>
  <c r="H14" i="12" s="1"/>
  <c r="G11" i="13" s="1"/>
  <c r="G14" i="10"/>
  <c r="G14" i="12" s="1"/>
  <c r="F11" i="13" s="1"/>
  <c r="H12" i="10"/>
  <c r="H12" i="12" s="1"/>
  <c r="G9" i="13" s="1"/>
  <c r="J10" i="10"/>
  <c r="J10" i="12" s="1"/>
  <c r="I7" i="13" s="1"/>
  <c r="H6" i="7"/>
  <c r="H6" i="1" s="1"/>
  <c r="H6" i="2" s="1"/>
  <c r="I6" i="7"/>
  <c r="I6" i="1" s="1"/>
  <c r="I6" i="2" s="1"/>
  <c r="J6" i="7"/>
  <c r="J6" i="1" s="1"/>
  <c r="H6" i="6" s="1"/>
  <c r="H6" i="3" s="1"/>
  <c r="K6" i="7"/>
  <c r="K6" i="1" s="1"/>
  <c r="K6" i="2" s="1"/>
  <c r="L6" i="7"/>
  <c r="L6" i="1" s="1"/>
  <c r="M6" i="7"/>
  <c r="M6" i="1" s="1"/>
  <c r="M6" i="2" s="1"/>
  <c r="H7" i="7"/>
  <c r="H7" i="1" s="1"/>
  <c r="H7" i="2" s="1"/>
  <c r="I7" i="7"/>
  <c r="I7" i="1" s="1"/>
  <c r="J7" i="7"/>
  <c r="J7" i="1" s="1"/>
  <c r="K7" i="7"/>
  <c r="K7" i="1" s="1"/>
  <c r="I7" i="6" s="1"/>
  <c r="I7" i="3" s="1"/>
  <c r="L7" i="7"/>
  <c r="L7" i="1" s="1"/>
  <c r="M7" i="7"/>
  <c r="M7" i="1" s="1"/>
  <c r="H8" i="7"/>
  <c r="H8" i="1" s="1"/>
  <c r="H8" i="2" s="1"/>
  <c r="I8" i="7"/>
  <c r="I8" i="1" s="1"/>
  <c r="I8" i="2" s="1"/>
  <c r="J8" i="7"/>
  <c r="J8" i="1" s="1"/>
  <c r="K8" i="7"/>
  <c r="K8" i="1" s="1"/>
  <c r="L8" i="7"/>
  <c r="L8" i="1" s="1"/>
  <c r="L8" i="2" s="1"/>
  <c r="M8" i="7"/>
  <c r="M8" i="1" s="1"/>
  <c r="M8" i="2" s="1"/>
  <c r="H9" i="7"/>
  <c r="H9" i="1" s="1"/>
  <c r="I9" i="7"/>
  <c r="I9" i="1" s="1"/>
  <c r="J9" i="7"/>
  <c r="J9" i="1" s="1"/>
  <c r="J9" i="2" s="1"/>
  <c r="H10" i="7"/>
  <c r="H10" i="1" s="1"/>
  <c r="G10" i="6" s="1"/>
  <c r="G10" i="3" s="1"/>
  <c r="I10" i="7"/>
  <c r="I10" i="1" s="1"/>
  <c r="J10" i="7"/>
  <c r="J10" i="1" s="1"/>
  <c r="H11" i="7"/>
  <c r="H11" i="1" s="1"/>
  <c r="G11" i="6" s="1"/>
  <c r="G11" i="3" s="1"/>
  <c r="I11" i="7"/>
  <c r="I11" i="1" s="1"/>
  <c r="I11" i="2" s="1"/>
  <c r="J11" i="7"/>
  <c r="J11" i="1" s="1"/>
  <c r="H12" i="7"/>
  <c r="H12" i="1" s="1"/>
  <c r="I12" i="7"/>
  <c r="I12" i="1" s="1"/>
  <c r="H12" i="6" s="1"/>
  <c r="H12" i="3" s="1"/>
  <c r="J12" i="7"/>
  <c r="J12" i="1" s="1"/>
  <c r="J12" i="2" s="1"/>
  <c r="H13" i="7"/>
  <c r="H13" i="1" s="1"/>
  <c r="H13" i="2" s="1"/>
  <c r="I13" i="7"/>
  <c r="I13" i="1" s="1"/>
  <c r="J13" i="7"/>
  <c r="J13" i="1" s="1"/>
  <c r="H14" i="7"/>
  <c r="H14" i="1" s="1"/>
  <c r="H14" i="2" s="1"/>
  <c r="I14" i="7"/>
  <c r="I14" i="1" s="1"/>
  <c r="I14" i="2" s="1"/>
  <c r="J14" i="7"/>
  <c r="J14" i="1" s="1"/>
  <c r="H15" i="7"/>
  <c r="H15" i="1" s="1"/>
  <c r="G15" i="6" s="1"/>
  <c r="G15" i="3" s="1"/>
  <c r="I15" i="7"/>
  <c r="I15" i="1" s="1"/>
  <c r="I15" i="2" s="1"/>
  <c r="J15" i="7"/>
  <c r="J15" i="1" s="1"/>
  <c r="I15" i="6" s="1"/>
  <c r="I15" i="3" s="1"/>
  <c r="H16" i="7"/>
  <c r="H16" i="1" s="1"/>
  <c r="I16" i="7"/>
  <c r="I16" i="1" s="1"/>
  <c r="J16" i="7"/>
  <c r="J16" i="1" s="1"/>
  <c r="J16" i="2" s="1"/>
  <c r="H17" i="7"/>
  <c r="H17" i="1" s="1"/>
  <c r="H17" i="2" s="1"/>
  <c r="I17" i="7"/>
  <c r="I17" i="1" s="1"/>
  <c r="I17" i="2" s="1"/>
  <c r="J17" i="7"/>
  <c r="J17" i="1" s="1"/>
  <c r="H17" i="6" s="1"/>
  <c r="H17" i="3" s="1"/>
  <c r="K17" i="7"/>
  <c r="K17" i="1" s="1"/>
  <c r="L17" i="7"/>
  <c r="L17" i="1" s="1"/>
  <c r="M17" i="7"/>
  <c r="M17" i="1" s="1"/>
  <c r="K17" i="6" s="1"/>
  <c r="K17" i="3" s="1"/>
  <c r="H18" i="7"/>
  <c r="H18" i="1" s="1"/>
  <c r="H18" i="2" s="1"/>
  <c r="I18" i="7"/>
  <c r="I18" i="1" s="1"/>
  <c r="J18" i="7"/>
  <c r="J18" i="1" s="1"/>
  <c r="K18" i="7"/>
  <c r="K18" i="1" s="1"/>
  <c r="L18" i="7"/>
  <c r="L18" i="1" s="1"/>
  <c r="J18" i="6" s="1"/>
  <c r="J18" i="3" s="1"/>
  <c r="M18" i="7"/>
  <c r="M18" i="1" s="1"/>
  <c r="C21" i="7"/>
  <c r="C2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R5" i="1"/>
  <c r="C21" i="6"/>
  <c r="C2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33" i="2"/>
  <c r="A33" i="3"/>
  <c r="A51" i="2"/>
  <c r="A51" i="3" s="1"/>
  <c r="A50" i="2"/>
  <c r="A50" i="3" s="1"/>
  <c r="A49" i="2"/>
  <c r="A49" i="3" s="1"/>
  <c r="A48" i="2"/>
  <c r="A48" i="3" s="1"/>
  <c r="A47" i="2"/>
  <c r="A47" i="3" s="1"/>
  <c r="A46" i="2"/>
  <c r="A46" i="3" s="1"/>
  <c r="A45" i="2"/>
  <c r="A45" i="3" s="1"/>
  <c r="A44" i="2"/>
  <c r="A44" i="3" s="1"/>
  <c r="A43" i="2"/>
  <c r="A43" i="3" s="1"/>
  <c r="A42" i="2"/>
  <c r="A42" i="3" s="1"/>
  <c r="A41" i="2"/>
  <c r="A41" i="3" s="1"/>
  <c r="A40" i="2"/>
  <c r="A40" i="3" s="1"/>
  <c r="A39" i="2"/>
  <c r="A39" i="3"/>
  <c r="A38" i="2"/>
  <c r="A38" i="3" s="1"/>
  <c r="A37" i="2"/>
  <c r="A37" i="3" s="1"/>
  <c r="A36" i="2"/>
  <c r="A36" i="3" s="1"/>
  <c r="A35" i="2"/>
  <c r="A35" i="3" s="1"/>
  <c r="A34" i="2"/>
  <c r="A34" i="3" s="1"/>
  <c r="C22" i="2"/>
  <c r="C22" i="3" s="1"/>
  <c r="C21" i="2"/>
  <c r="C21" i="3"/>
  <c r="I18" i="6" l="1"/>
  <c r="I18" i="3" s="1"/>
  <c r="K18" i="2"/>
  <c r="G9" i="6"/>
  <c r="G9" i="3" s="1"/>
  <c r="H9" i="2"/>
  <c r="J13" i="2"/>
  <c r="I13" i="6"/>
  <c r="I13" i="3" s="1"/>
  <c r="H10" i="6"/>
  <c r="H10" i="3" s="1"/>
  <c r="I10" i="2"/>
  <c r="G18" i="6"/>
  <c r="G18" i="3" s="1"/>
  <c r="I18" i="2"/>
  <c r="M17" i="2"/>
  <c r="H16" i="6"/>
  <c r="H16" i="3" s="1"/>
  <c r="I16" i="2"/>
  <c r="K18" i="6"/>
  <c r="K18" i="3" s="1"/>
  <c r="M18" i="2"/>
  <c r="I11" i="6"/>
  <c r="I11" i="3" s="1"/>
  <c r="J11" i="2"/>
  <c r="G8" i="12"/>
  <c r="G7" i="10"/>
  <c r="J7" i="2"/>
  <c r="H7" i="6"/>
  <c r="H7" i="3" s="1"/>
  <c r="J8" i="2"/>
  <c r="H8" i="6"/>
  <c r="H8" i="3" s="1"/>
  <c r="G13" i="6"/>
  <c r="G13" i="3" s="1"/>
  <c r="H14" i="6"/>
  <c r="H14" i="3" s="1"/>
  <c r="H10" i="2"/>
  <c r="G14" i="6"/>
  <c r="G14" i="3" s="1"/>
  <c r="G17" i="6"/>
  <c r="G17" i="3" s="1"/>
  <c r="G6" i="6"/>
  <c r="G6" i="3" s="1"/>
  <c r="J15" i="2"/>
  <c r="J8" i="6"/>
  <c r="J8" i="3" s="1"/>
  <c r="I9" i="6"/>
  <c r="I9" i="3" s="1"/>
  <c r="H11" i="2"/>
  <c r="K8" i="2"/>
  <c r="I8" i="6"/>
  <c r="I8" i="3" s="1"/>
  <c r="K7" i="6"/>
  <c r="K7" i="3" s="1"/>
  <c r="M7" i="2"/>
  <c r="H16" i="2"/>
  <c r="G16" i="6"/>
  <c r="G16" i="3" s="1"/>
  <c r="G7" i="6"/>
  <c r="G7" i="3" s="1"/>
  <c r="I7" i="2"/>
  <c r="H9" i="6"/>
  <c r="H9" i="3" s="1"/>
  <c r="I9" i="2"/>
  <c r="J7" i="6"/>
  <c r="J7" i="3" s="1"/>
  <c r="L7" i="2"/>
  <c r="H13" i="6"/>
  <c r="H13" i="3" s="1"/>
  <c r="I13" i="2"/>
  <c r="J14" i="2"/>
  <c r="I14" i="6"/>
  <c r="I14" i="3" s="1"/>
  <c r="J18" i="2"/>
  <c r="H18" i="6"/>
  <c r="H18" i="3" s="1"/>
  <c r="L17" i="2"/>
  <c r="J17" i="6"/>
  <c r="J17" i="3" s="1"/>
  <c r="J10" i="2"/>
  <c r="I10" i="6"/>
  <c r="I10" i="3" s="1"/>
  <c r="I17" i="6"/>
  <c r="I17" i="3" s="1"/>
  <c r="K17" i="2"/>
  <c r="H12" i="2"/>
  <c r="G12" i="6"/>
  <c r="G12" i="3" s="1"/>
  <c r="L6" i="2"/>
  <c r="J6" i="6"/>
  <c r="J6" i="3" s="1"/>
  <c r="H11" i="6"/>
  <c r="H11" i="3" s="1"/>
  <c r="J17" i="2"/>
  <c r="I6" i="6"/>
  <c r="I6" i="3" s="1"/>
  <c r="G8" i="6"/>
  <c r="G8" i="3" s="1"/>
  <c r="J6" i="2"/>
  <c r="H15" i="2"/>
  <c r="K6" i="6"/>
  <c r="K6" i="3" s="1"/>
  <c r="H15" i="6"/>
  <c r="H15" i="3" s="1"/>
  <c r="L18" i="2"/>
  <c r="K8" i="6"/>
  <c r="K8" i="3" s="1"/>
  <c r="I12" i="2"/>
  <c r="K7" i="2"/>
  <c r="I12" i="6"/>
  <c r="I12" i="3" s="1"/>
  <c r="I16" i="6"/>
  <c r="I16" i="3" s="1"/>
  <c r="F5" i="13" l="1"/>
  <c r="F4" i="13" s="1"/>
  <c r="G7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3% ATB (including longevity and selection premium), all ranks.
Regular step movement permitted.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9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2015: 2.25% increase to wages, selection premiums and longevity. 
Regular step movement permitted. 
</t>
        </r>
      </text>
    </comment>
    <comment ref="D16" authorId="1" shapeId="0" xr:uid="{00000000-0006-0000-09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A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2016: 2.75% increase to steps on FMO and Fire Captain schedules, selection premiums and longevity. 
Firefighter schedule adjusted as follows: 2.75% to top step (step 5) which is relabeled "step 6". Lower steps set at a rate that is 5% less than the next higher step. All firefighters' are moved up one step as top step is now step 6.
Regular step movement permitted. 
</t>
        </r>
      </text>
    </comment>
    <comment ref="D16" authorId="1" shapeId="0" xr:uid="{00000000-0006-0000-0A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2017: 3.0% increase to steps on FMO and Fire Captain schedules, selection premiums and longevity. 
Firefighter schedule adjusted as follows: 3.0% to top step (step 6)and adjust lower steps to increments 4% less than the next higher step. 
Regular step movement permitted. 
</t>
        </r>
      </text>
    </comment>
    <comment ref="D16" authorId="1" shapeId="0" xr:uid="{00000000-0006-0000-0B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C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January 1, 2018: 2.0% increase to steps for all job classes, selection premiums and longevity. 
Regular step movement permitted. 
</t>
        </r>
      </text>
    </comment>
    <comment ref="D16" authorId="1" shapeId="0" xr:uid="{00000000-0006-0000-0C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  <author xml:space="preserve">Nelms, Pam </author>
  </authors>
  <commentList>
    <comment ref="A2" authorId="0" shapeId="0" xr:uid="{00000000-0006-0000-0D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Effective July 1, 2018: 0.75% increase to steps for all job classes, selection premiums and longevity. 
Regular step movement permitted. 
</t>
        </r>
      </text>
    </comment>
    <comment ref="D16" authorId="1" shapeId="0" xr:uid="{00000000-0006-0000-0D00-000002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  <comment ref="O16" authorId="1" shapeId="0" xr:uid="{00000000-0006-0000-0D00-000003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This Class includes Assistant Training Officer and Engineering Officer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A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No change from 2018.</t>
        </r>
      </text>
    </comment>
    <comment ref="D16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  <author xml:space="preserve">Miller, Brenda </author>
  </authors>
  <commentList>
    <comment ref="E16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  <comment ref="I39" authorId="1" shapeId="0" xr:uid="{D2508D0D-A4EA-4415-BAD9-184E0AC273F0}">
      <text>
        <r>
          <rPr>
            <sz val="9"/>
            <color indexed="81"/>
            <rFont val="Tahoma"/>
            <family val="2"/>
          </rPr>
          <t>keyed incorrectly into spreadsheet - was $3.672 but should be $3.762.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No change from September 2007 wage schedule except that the $37 biweekly uniform allowance is rolled into base wage.
Regular step movement permitted. Note this contract begins January 1, 2008 to December 31, 2010. . </t>
        </r>
      </text>
    </comment>
    <comment ref="R5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Annual clothing allowance of $924 rolled in to base wages.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16" authorId="0" shapeId="0" xr:uid="{00000000-0006-0000-1300-000002000000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0" authorId="0" shapeId="0" xr:uid="{78EC5614-5C7C-4892-8F61-CC051AE3D3E4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1" authorId="0" shapeId="0" xr:uid="{ED9E81C6-2135-4328-9DEE-21461C03F4DE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1" authorId="0" shapeId="0" xr:uid="{B2A21EE9-5BF7-4905-991B-0617356F3AAD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1" authorId="0" shapeId="0" xr:uid="{511F18DA-C846-4E83-B1BE-4B7368A864BA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1" authorId="0" shapeId="0" xr:uid="{68BB9C14-13AD-49AA-8004-4E5950B0829E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1" authorId="0" shapeId="0" xr:uid="{6C3C990F-EB4B-4056-8356-3AEC6239C6BE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Boaz, Derrick </author>
  </authors>
  <commentList>
    <comment ref="D21" authorId="0" shapeId="0" xr:uid="{5C029B91-5700-47B7-BD3B-7B787EC02AB9}">
      <text>
        <r>
          <rPr>
            <b/>
            <sz val="9"/>
            <color indexed="81"/>
            <rFont val="Tahoma"/>
            <family val="2"/>
          </rPr>
          <t>Boaz, Derrick :</t>
        </r>
        <r>
          <rPr>
            <sz val="9"/>
            <color indexed="81"/>
            <rFont val="Tahoma"/>
            <family val="2"/>
          </rPr>
          <t xml:space="preserve">
This class includes Asst Training Officer and Engineering Officer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3% ATB including selection premium and longevity.
Regular step movement permitted. Note this contract begins January 1, 2008 to December 31, 2010.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All that happens here is that the lowest wage step (step 2) goes away for all schedules with 6 steps. (04450C, 04451C). We are also takind this oopportunity eliminate the not applicable step 1 of schedules that currently does not have any wages associated with them. this is a carry over from a previous contract contraction.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3% ATB including selection premium and longevity.
Regular step movement permitted. Note this contract begins January 1, 2008 to December 31, 2010. 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January 1, 2011: No change to wages, premiums or longevity. Regular step movement permitted. Note this contract begins January 1, 2011 to December 31, 2012.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Effctive January 1, 2012: No change to wages, premiums or longevity. Regular step movement permitted. Note this contract begins January 1, 2012 to December 31, 2014
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7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Effctive January 1, 2013: 2% increase to wages, premiums and longevity. Regular step movement permitted. Note this contract begins January 1, 2013 to December 31, 2014.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3" authorId="0" shapeId="0" xr:uid="{00000000-0006-0000-08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Effctive January 1, 2014: 2% increase to wages, premiums and longevity. After increasing all Longevity rates by 2%, the Longevity schedule begins one year earlier, in year 7 instead of year 8.  Year 25 is the last year of longevity increase.
 Regular step movement permitted. 
Note this contract begins January 1, 2013 and runs through December 31, 2014.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<sst xmlns="http://schemas.openxmlformats.org/spreadsheetml/2006/main" count="4689" uniqueCount="325">
  <si>
    <t>International Association of Fire Fighter, Local 82 (CFF)</t>
  </si>
  <si>
    <t>FLSA</t>
  </si>
  <si>
    <t>OTC</t>
  </si>
  <si>
    <t>CODE</t>
  </si>
  <si>
    <t>CLASSIFICATION</t>
  </si>
  <si>
    <t>Points</t>
  </si>
  <si>
    <t>P</t>
  </si>
  <si>
    <t>Step 1</t>
  </si>
  <si>
    <t>Step 2</t>
  </si>
  <si>
    <t>Step 3</t>
  </si>
  <si>
    <t>Step 4</t>
  </si>
  <si>
    <t>Step 5</t>
  </si>
  <si>
    <t>Step 6</t>
  </si>
  <si>
    <t>Step 7</t>
  </si>
  <si>
    <t>N</t>
  </si>
  <si>
    <t>04450C</t>
  </si>
  <si>
    <t>Fire Fighter</t>
  </si>
  <si>
    <t>B</t>
  </si>
  <si>
    <t>None</t>
  </si>
  <si>
    <t>04451C</t>
  </si>
  <si>
    <t>Fire Fighter (40 hrs.)</t>
  </si>
  <si>
    <t>04388C</t>
  </si>
  <si>
    <t>Fire Inspector 1</t>
  </si>
  <si>
    <t>04420C</t>
  </si>
  <si>
    <t>Fire Motor Operator</t>
  </si>
  <si>
    <t xml:space="preserve">04412C </t>
  </si>
  <si>
    <t>Fire Motor Operator (40 hrs.)</t>
  </si>
  <si>
    <t>04389C</t>
  </si>
  <si>
    <t>Fire Inspector 2</t>
  </si>
  <si>
    <t>04370C</t>
  </si>
  <si>
    <t>Fire Captain</t>
  </si>
  <si>
    <t>04371C</t>
  </si>
  <si>
    <t>Fire Captain (40 hrs.)</t>
  </si>
  <si>
    <t>04400C</t>
  </si>
  <si>
    <t>Fire Investigator</t>
  </si>
  <si>
    <t>04401C</t>
  </si>
  <si>
    <t>Fire Investigator (40 hrs.)</t>
  </si>
  <si>
    <t>04390C</t>
  </si>
  <si>
    <t>Fire Inspector 3</t>
  </si>
  <si>
    <t>04435C</t>
  </si>
  <si>
    <t>Fire Staff Captain (Asst Training Officer; Engineering Officer)</t>
  </si>
  <si>
    <t>04436C</t>
  </si>
  <si>
    <t>Fire Staff Captain (40 hrs.)</t>
  </si>
  <si>
    <t>Regular Step Progression Permitted</t>
  </si>
  <si>
    <r>
      <t xml:space="preserve">A </t>
    </r>
    <r>
      <rPr>
        <b/>
        <sz val="8.5"/>
        <rFont val="MS Sans Serif"/>
        <family val="2"/>
      </rPr>
      <t xml:space="preserve">selection premium </t>
    </r>
    <r>
      <rPr>
        <sz val="8.5"/>
        <rFont val="MS Sans Serif"/>
        <family val="2"/>
      </rPr>
      <t xml:space="preserve">of shall be added  for all hours worked to the top step of Firefighter as follows. </t>
    </r>
  </si>
  <si>
    <t xml:space="preserve">cents per hour beginning of the 26th year of service. </t>
  </si>
  <si>
    <t>cents per hour beginning of the 21st year through the 25th year of service.</t>
  </si>
  <si>
    <t>These additional payments are contingent upon the retention of the ninety-five ($.95) cent per hour Police shift differential.</t>
  </si>
  <si>
    <t>If that Police shift differential  is diminished or eliminated, the Firefighter selection premiums shall be correspondingly reduced.</t>
  </si>
  <si>
    <r>
      <t>Career Ladder Promotion Plan- Fire Inspectors:</t>
    </r>
    <r>
      <rPr>
        <sz val="8.5"/>
        <rFont val="MS Sans Serif"/>
        <family val="2"/>
      </rPr>
      <t xml:space="preserve"> This plan, which is in conformance with the national Fire Protection </t>
    </r>
  </si>
  <si>
    <t xml:space="preserve">Association . Standard 1031 and the time-in-grade requirements of the Minneapolis Civil Service Commission for Fire Motor </t>
  </si>
  <si>
    <t xml:space="preserve">Operator and Captain, provides the pay progression provisions applicable to Fire Inspectors. These assignments shall not be </t>
  </si>
  <si>
    <t>regarded as permanent job classifications or titles.</t>
  </si>
  <si>
    <t>Longevity:</t>
  </si>
  <si>
    <t>bi-weekly additional at the beginning of the 8th year of service</t>
  </si>
  <si>
    <t>bi-weekly additional at the beginning of the 9th year of service.</t>
  </si>
  <si>
    <t>bi-weekly additional at the beginning of the 10th year of service.</t>
  </si>
  <si>
    <t>bi-weekly additional at the beginning of the 11th year of service.</t>
  </si>
  <si>
    <t>bi-weekly additional at the beginning of the 12th year of service.</t>
  </si>
  <si>
    <t>bi-weekly additional at the beginning of the 13th year of service.</t>
  </si>
  <si>
    <t>bi-weekly additional at the beginning of the 14th year of service.</t>
  </si>
  <si>
    <t>bi-weekly additional at the beginning of the 15th year of service.</t>
  </si>
  <si>
    <t>bi-weekly additional at the beginning of the 16th year of service.</t>
  </si>
  <si>
    <t>bi-weekly additional at the beginning of the 17th year of service.</t>
  </si>
  <si>
    <t>bi-weekly additional at the beginning of the 18th year of service.</t>
  </si>
  <si>
    <t>bi-weekly additional at the beginning of the 19th year of service.</t>
  </si>
  <si>
    <t>bi-weekly additional at the beginning of the 20th year of service.</t>
  </si>
  <si>
    <t>bi-weekly additional at the beginning of the 21st year of service.</t>
  </si>
  <si>
    <t>bi-weekly additional at the beginning of the 22nd year of service.</t>
  </si>
  <si>
    <t>bi-weekly additional at the beginning of the 23rd year of service.</t>
  </si>
  <si>
    <t>bi-weekly additional at the beginning of the 24th year of service.</t>
  </si>
  <si>
    <t>bi-weekly additional at the beginning of the 25th year of service.</t>
  </si>
  <si>
    <t>bi-weekly additional at the beginning of the 26th year of service and beyond.</t>
  </si>
  <si>
    <t>Effective January 1, 2008</t>
  </si>
  <si>
    <t>Effective October 26, 2008</t>
  </si>
  <si>
    <t>Effective December 31, 2008</t>
  </si>
  <si>
    <t>Effective September 9, 2007</t>
  </si>
  <si>
    <t xml:space="preserve">04421C </t>
  </si>
  <si>
    <t>Effective at the beginning of the payroll period that includes January 1, 2010</t>
  </si>
  <si>
    <t>Effective at the beginning of the payroll period that includes January 1, 2011</t>
  </si>
  <si>
    <t>Step movement is allowed</t>
  </si>
  <si>
    <t>Effective at the beginning of the payroll period that includes January 1, 2012</t>
  </si>
  <si>
    <t>Effective on January 1, 2013</t>
  </si>
  <si>
    <t>Effective on January 1, 2014</t>
  </si>
  <si>
    <t>Fire Cadet</t>
  </si>
  <si>
    <t>bi-weekly additional at the beginning of the 8th year of service at or above FIREFIGHTER classification</t>
  </si>
  <si>
    <t>bi-weekly additional at the beginning of the 9th year of service at or above FIREFIGHTER classification.</t>
  </si>
  <si>
    <t>bi-weekly additional at the beginning of the 10th year of service at or above FIREFIGHTER classification..</t>
  </si>
  <si>
    <t>bi-weekly additional at the beginning of the 11th year of service at or above FIREFIGHTER classification..</t>
  </si>
  <si>
    <t>bi-weekly additional at the beginning of the 12th year of service at or above FIREFIGHTER classification..</t>
  </si>
  <si>
    <t>bi-weekly additional at the beginning of the 13th year of service at or above FIREFIGHTER classification..</t>
  </si>
  <si>
    <t>bi-weekly additional at the beginning of the 14th year of service at or above FIREFIGHTER classification..</t>
  </si>
  <si>
    <t>bi-weekly additional at the beginning of the 15th year of service at or above FIREFIGHTER classification..</t>
  </si>
  <si>
    <t>bi-weekly additional at the beginning of the 16th year of service at or above FIREFIGHTER classification..</t>
  </si>
  <si>
    <t>bi-weekly additional at the beginning of the 17th year of service at or above FIREFIGHTER classification..</t>
  </si>
  <si>
    <t>bi-weekly additional at the beginning of the 18th year of service at or above FIREFIGHTER classification..</t>
  </si>
  <si>
    <t>bi-weekly additional at the beginning of the 19th year of service at or above FIREFIGHTER classification..</t>
  </si>
  <si>
    <t>bi-weekly additional at the beginning of the 20th year of service at or above FIREFIGHTER classification..</t>
  </si>
  <si>
    <t>bi-weekly additional at the beginning of the 21st year of service at or above FIREFIGHTER classification..</t>
  </si>
  <si>
    <t>bi-weekly additional at the beginning of the 22nd year of service at or above FIREFIGHTER classification..</t>
  </si>
  <si>
    <t>bi-weekly additional at the beginning of the 23rd year of service at or above FIREFIGHTER classification..</t>
  </si>
  <si>
    <t>bi-weekly additional at the beginning of the 24th year of service at or above FIREFIGHTER classification..</t>
  </si>
  <si>
    <t>bi-weekly additional at the beginning of the 25th year of service at or above FIREFIGHTER classification..</t>
  </si>
  <si>
    <t>bi-weekly additional at the beginning of the 26th year of service and beyond at or above FIREFIGHTER classification..</t>
  </si>
  <si>
    <t>bi-weekly additional at the beginning of the 7th year of service at or above FIREFIGHTER classification</t>
  </si>
  <si>
    <t>Effective on January 1, 2015</t>
  </si>
  <si>
    <r>
      <t xml:space="preserve">A </t>
    </r>
    <r>
      <rPr>
        <b/>
        <sz val="11"/>
        <rFont val="Calibri"/>
        <family val="2"/>
        <scheme val="minor"/>
      </rPr>
      <t xml:space="preserve">selection premium </t>
    </r>
    <r>
      <rPr>
        <sz val="11"/>
        <rFont val="Calibri"/>
        <family val="2"/>
        <scheme val="minor"/>
      </rPr>
      <t xml:space="preserve">of shall be added  for all hours worked to the top step of Firefighter as follows. </t>
    </r>
  </si>
  <si>
    <r>
      <t>Career Ladder Promotion Plan- Fire Inspectors:</t>
    </r>
    <r>
      <rPr>
        <sz val="11"/>
        <rFont val="Calibri"/>
        <family val="2"/>
        <scheme val="minor"/>
      </rPr>
      <t xml:space="preserve"> This plan, which is in conformance with the national Fire Protection </t>
    </r>
  </si>
  <si>
    <t>Effective on January 1, 2017</t>
  </si>
  <si>
    <t>Effective on January 1, 2016</t>
  </si>
  <si>
    <t>Effective on July 1, 2018</t>
  </si>
  <si>
    <t xml:space="preserve">      These additional payments are contingent upon the retention of the ninety-five ($.95) cent per hour Police shift differential.</t>
  </si>
  <si>
    <t xml:space="preserve">      If that Police shift differential  is diminished or eliminated, the Firefighter selection premiums shall be correspondingly reduced.</t>
  </si>
  <si>
    <t xml:space="preserve">Fire Staff Captain </t>
  </si>
  <si>
    <t>FLSA OTC</t>
  </si>
  <si>
    <t>N3</t>
  </si>
  <si>
    <r>
      <t xml:space="preserve"> 7th year of service at or above the </t>
    </r>
    <r>
      <rPr>
        <i/>
        <u val="singleAccounting"/>
        <sz val="11"/>
        <rFont val="Calibri"/>
        <family val="2"/>
        <scheme val="minor"/>
      </rPr>
      <t>Firefighter</t>
    </r>
    <r>
      <rPr>
        <u val="singleAccounting"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classification</t>
    </r>
  </si>
  <si>
    <t xml:space="preserve"> 8th year of service at or above the Firefighter classification</t>
  </si>
  <si>
    <t>9th year of service at or above  the Firefighter classification</t>
  </si>
  <si>
    <t>10th year of service at or above  the Firefighter classification</t>
  </si>
  <si>
    <t>11th year of service at or above the Firefighter classification</t>
  </si>
  <si>
    <t>12th year of service at or above  the Firefighter classification</t>
  </si>
  <si>
    <t>13th year of service at or above  the Firefighter classification</t>
  </si>
  <si>
    <t>14th year of service at or above the Firefighter classification</t>
  </si>
  <si>
    <t>15th year of service at or above  the Firefighter classification</t>
  </si>
  <si>
    <t>16th year of service at or above the Firefighter classification</t>
  </si>
  <si>
    <t>17th year of service at or above  the Firefighter classification</t>
  </si>
  <si>
    <t>18th year of service at or above  the Firefighter classification</t>
  </si>
  <si>
    <t>19th year of service at or above  the Firefighter classification</t>
  </si>
  <si>
    <t>20th year of service at or above  the Firefighter classification</t>
  </si>
  <si>
    <t>21st year of service at or above  the Firefighter classification</t>
  </si>
  <si>
    <t>22nd year of service at or above the Firefighter classification</t>
  </si>
  <si>
    <t>23rd year of service at or above  the Firefighter classification</t>
  </si>
  <si>
    <t>24th year of service at or above the Firefighter classification</t>
  </si>
  <si>
    <t>25th year of service at or above  the Firefighter classification</t>
  </si>
  <si>
    <t xml:space="preserve"> 7th year of service at or above the Firefighter classification</t>
  </si>
  <si>
    <t xml:space="preserve">Longevity </t>
  </si>
  <si>
    <t>Job Code</t>
  </si>
  <si>
    <t>Salary Grade</t>
  </si>
  <si>
    <t xml:space="preserve">The following biweekly additional compensation shall be paid at the beginning of the: </t>
  </si>
  <si>
    <t>International Association of Fire Fighters, Local 82 (CFF)</t>
  </si>
  <si>
    <r>
      <t xml:space="preserve">A </t>
    </r>
    <r>
      <rPr>
        <b/>
        <sz val="11"/>
        <rFont val="Calibri"/>
        <family val="2"/>
        <scheme val="minor"/>
      </rPr>
      <t xml:space="preserve">selection premium </t>
    </r>
    <r>
      <rPr>
        <sz val="11"/>
        <rFont val="Calibri"/>
        <family val="2"/>
        <scheme val="minor"/>
      </rPr>
      <t xml:space="preserve">shall be added  for all hours worked to the top step of Firefighter as follows. </t>
    </r>
  </si>
  <si>
    <t>Effective on January 1, 2018</t>
  </si>
  <si>
    <t xml:space="preserve">   Divide by 80</t>
  </si>
  <si>
    <t>Divide by 109.2</t>
  </si>
  <si>
    <t>CFG</t>
  </si>
  <si>
    <t xml:space="preserve">CFF </t>
  </si>
  <si>
    <t>CFF</t>
  </si>
  <si>
    <t>CFF 1</t>
  </si>
  <si>
    <t>CFG 1</t>
  </si>
  <si>
    <t>CFF 2</t>
  </si>
  <si>
    <t>CFG 2</t>
  </si>
  <si>
    <t>CFF 3</t>
  </si>
  <si>
    <t>CFG 3</t>
  </si>
  <si>
    <t>CFF 4</t>
  </si>
  <si>
    <t>CFG 4</t>
  </si>
  <si>
    <t>CFG 5</t>
  </si>
  <si>
    <t>04440C</t>
  </si>
  <si>
    <t>Dolly123</t>
  </si>
  <si>
    <t>Effective on January 1, 2019</t>
  </si>
  <si>
    <t xml:space="preserve">For all job classifications above Fire Fighter, the following biweekly additional compensation shall be paid at the beginning of the: </t>
  </si>
  <si>
    <t xml:space="preserve"> 7th year of service</t>
  </si>
  <si>
    <t xml:space="preserve"> 8th year of service</t>
  </si>
  <si>
    <t xml:space="preserve"> 9th year of service</t>
  </si>
  <si>
    <t xml:space="preserve"> 10th year of service</t>
  </si>
  <si>
    <t xml:space="preserve"> 11th year of service</t>
  </si>
  <si>
    <t xml:space="preserve"> 12th year of service</t>
  </si>
  <si>
    <t xml:space="preserve"> 13th year of service</t>
  </si>
  <si>
    <t xml:space="preserve"> 14th year of service</t>
  </si>
  <si>
    <t xml:space="preserve"> 15th year of service</t>
  </si>
  <si>
    <t xml:space="preserve"> 16th year of service</t>
  </si>
  <si>
    <t xml:space="preserve"> 17th year of service</t>
  </si>
  <si>
    <t xml:space="preserve"> 18th year of service</t>
  </si>
  <si>
    <t xml:space="preserve"> 19th year of service</t>
  </si>
  <si>
    <t xml:space="preserve"> 20th year of service</t>
  </si>
  <si>
    <t xml:space="preserve"> 21st year of service</t>
  </si>
  <si>
    <t xml:space="preserve"> 22nd year of service</t>
  </si>
  <si>
    <t xml:space="preserve"> 23rd year of service</t>
  </si>
  <si>
    <t xml:space="preserve"> 24th year of service</t>
  </si>
  <si>
    <t xml:space="preserve"> 25th year of service</t>
  </si>
  <si>
    <t>26th year of service</t>
  </si>
  <si>
    <t xml:space="preserve">For the job classification of Fire Fighter only, the following biweekly additional compensation shall be paid at the beginning of the: </t>
  </si>
  <si>
    <t>Effective on January 1, 2020</t>
  </si>
  <si>
    <t>Effective on April 1, 2019</t>
  </si>
  <si>
    <t>Effective on July 1, 2020</t>
  </si>
  <si>
    <t>Effective on January 1, 2021</t>
  </si>
  <si>
    <t>Effective on July 1, 2021</t>
  </si>
  <si>
    <t xml:space="preserve"> </t>
  </si>
  <si>
    <t>For all job classifications excluding Fire Fighter and Fire Cadet, the following biweekly additional compensation shall be paid at the beginning of the:</t>
  </si>
  <si>
    <t>Original Rate</t>
  </si>
  <si>
    <t>Year</t>
  </si>
  <si>
    <t>2.5% increase</t>
  </si>
  <si>
    <t xml:space="preserve"> 26th year of service</t>
  </si>
  <si>
    <t>Selection Premium totals for the bi-week period</t>
  </si>
  <si>
    <t>(C23+I23)*J23=new Longevity with selection added</t>
  </si>
  <si>
    <t>04421C</t>
  </si>
  <si>
    <t>Brenda Miller</t>
  </si>
  <si>
    <t>Completed audit of rates against PeopleSoft rates</t>
  </si>
  <si>
    <t>Hrly Rates</t>
  </si>
  <si>
    <t>4/1/2019: 2.5% increase, including longevity; 21st year of service - add 0.401 per hour; 26th year of service - add 0.918 per hour</t>
  </si>
  <si>
    <t>1/1/2020: 1.5% increase, including longevity</t>
  </si>
  <si>
    <t>7/1/20: 1.75% increase, including longevity</t>
  </si>
  <si>
    <t>1/1/21: 1.50% increase, including longevity</t>
  </si>
  <si>
    <t>7/1/21: 1.75% increase, including longevity</t>
  </si>
  <si>
    <t>CFH</t>
  </si>
  <si>
    <t>Job Record</t>
  </si>
  <si>
    <t>CFH/CFF</t>
  </si>
  <si>
    <t>CFI/CFG</t>
  </si>
  <si>
    <t>Longevity: CFG</t>
  </si>
  <si>
    <t>LNGCFG</t>
  </si>
  <si>
    <t>Longevity: CFF</t>
  </si>
  <si>
    <t>LNGCFF</t>
  </si>
  <si>
    <t>Comp Rate</t>
  </si>
  <si>
    <t>Descr</t>
  </si>
  <si>
    <t>Min Years</t>
  </si>
  <si>
    <t>Level</t>
  </si>
  <si>
    <t>Eff Date</t>
  </si>
  <si>
    <t>Rate Code</t>
  </si>
  <si>
    <t xml:space="preserve"> 80</t>
  </si>
  <si>
    <t>PB_SENIORITY_RATES_PPO</t>
  </si>
  <si>
    <t>LNGCFH</t>
  </si>
  <si>
    <t>Longevity: CFH</t>
  </si>
  <si>
    <t>LNGCFI</t>
  </si>
  <si>
    <t>Longevity:  CFI</t>
  </si>
  <si>
    <t>Column Labels</t>
  </si>
  <si>
    <t>Row Labels</t>
  </si>
  <si>
    <t>Average of Comp Rate</t>
  </si>
  <si>
    <t>CFF/CFH Diff</t>
  </si>
  <si>
    <t>CFG/CFI Diff</t>
  </si>
  <si>
    <t>CFI</t>
  </si>
  <si>
    <t>CFF/109.2</t>
  </si>
  <si>
    <t>CFG/80</t>
  </si>
  <si>
    <t>CFH/109.2</t>
  </si>
  <si>
    <t>CFI/80</t>
  </si>
  <si>
    <t>CFI 1</t>
  </si>
  <si>
    <t>CFH 1</t>
  </si>
  <si>
    <t>should be</t>
  </si>
  <si>
    <t>COMET</t>
  </si>
  <si>
    <t>CFG - COMET</t>
  </si>
  <si>
    <t>ID</t>
  </si>
  <si>
    <t>Name</t>
  </si>
  <si>
    <t>Job Title</t>
  </si>
  <si>
    <t>Sal Plan</t>
  </si>
  <si>
    <t>Base Hrly Rate</t>
  </si>
  <si>
    <t>Base Annualized Rate</t>
  </si>
  <si>
    <t>Lng Hrly Rate</t>
  </si>
  <si>
    <t>Lng Annualized Rate</t>
  </si>
  <si>
    <t>Department</t>
  </si>
  <si>
    <t>Reg/Temp</t>
  </si>
  <si>
    <t>Stnd Hrs/Wk</t>
  </si>
  <si>
    <t>Step</t>
  </si>
  <si>
    <t>Step Date</t>
  </si>
  <si>
    <t>Sal Grade</t>
  </si>
  <si>
    <t>Class Grade</t>
  </si>
  <si>
    <t>Tot Points</t>
  </si>
  <si>
    <t>FLSA Stat</t>
  </si>
  <si>
    <t>Sex</t>
  </si>
  <si>
    <t>Last Start</t>
  </si>
  <si>
    <t>Empl Record</t>
  </si>
  <si>
    <t>Fire Staff Captain 40 hr wk-C</t>
  </si>
  <si>
    <t>FIRE DEPARTMENT</t>
  </si>
  <si>
    <t>R</t>
  </si>
  <si>
    <t>4</t>
  </si>
  <si>
    <t>F</t>
  </si>
  <si>
    <t>098122</t>
  </si>
  <si>
    <t>Ramos,Raul Antonio</t>
  </si>
  <si>
    <t>M</t>
  </si>
  <si>
    <t>096566</t>
  </si>
  <si>
    <t>Olson,Sean Alan</t>
  </si>
  <si>
    <t>096553</t>
  </si>
  <si>
    <t>Pleasants,Stephen Edward</t>
  </si>
  <si>
    <t>095999</t>
  </si>
  <si>
    <t>Anderson,Casidy Anise</t>
  </si>
  <si>
    <r>
      <rPr>
        <b/>
        <sz val="11"/>
        <color theme="0"/>
        <rFont val="Calibri"/>
        <family val="2"/>
        <scheme val="minor"/>
      </rPr>
      <t>CFF</t>
    </r>
    <r>
      <rPr>
        <sz val="11"/>
        <color theme="0"/>
        <rFont val="Calibri"/>
        <family val="2"/>
        <scheme val="minor"/>
      </rPr>
      <t>/109.2</t>
    </r>
  </si>
  <si>
    <r>
      <rPr>
        <b/>
        <sz val="11"/>
        <color theme="0"/>
        <rFont val="Calibri"/>
        <family val="2"/>
        <scheme val="minor"/>
      </rPr>
      <t>CFG</t>
    </r>
    <r>
      <rPr>
        <sz val="11"/>
        <color theme="0"/>
        <rFont val="Calibri"/>
        <family val="2"/>
        <scheme val="minor"/>
      </rPr>
      <t>/80</t>
    </r>
  </si>
  <si>
    <r>
      <rPr>
        <b/>
        <sz val="11"/>
        <color theme="0"/>
        <rFont val="Calibri"/>
        <family val="2"/>
        <scheme val="minor"/>
      </rPr>
      <t>CFH</t>
    </r>
    <r>
      <rPr>
        <sz val="11"/>
        <color theme="0"/>
        <rFont val="Calibri"/>
        <family val="2"/>
        <scheme val="minor"/>
      </rPr>
      <t>/109.2</t>
    </r>
  </si>
  <si>
    <r>
      <rPr>
        <b/>
        <sz val="11"/>
        <color theme="0"/>
        <rFont val="Calibri"/>
        <family val="2"/>
        <scheme val="minor"/>
      </rPr>
      <t>CFI</t>
    </r>
    <r>
      <rPr>
        <sz val="11"/>
        <color theme="0"/>
        <rFont val="Calibri"/>
        <family val="2"/>
        <scheme val="minor"/>
      </rPr>
      <t>/80</t>
    </r>
  </si>
  <si>
    <t>Comments</t>
  </si>
  <si>
    <t>Hourly Rates</t>
  </si>
  <si>
    <t>Classification</t>
  </si>
  <si>
    <t>04452C</t>
  </si>
  <si>
    <t>Firerighter Bell Curve-C</t>
  </si>
  <si>
    <t>Divid by 80</t>
  </si>
  <si>
    <t>currently not on published schedule</t>
  </si>
  <si>
    <t xml:space="preserve">   Divide by 109.2</t>
  </si>
  <si>
    <t>Bi-Wkly Hrs</t>
  </si>
  <si>
    <t>Update</t>
  </si>
  <si>
    <t>Y</t>
  </si>
  <si>
    <t>Data</t>
  </si>
  <si>
    <t>IncrPerc2023</t>
  </si>
  <si>
    <t>Data2021</t>
  </si>
  <si>
    <t>Data2022</t>
  </si>
  <si>
    <t>IncrPerc2022</t>
  </si>
  <si>
    <t>IncrPerc2024</t>
  </si>
  <si>
    <t>Data2023</t>
  </si>
  <si>
    <t>IncrPerc2025</t>
  </si>
  <si>
    <t>Data2024</t>
  </si>
  <si>
    <t>Description</t>
  </si>
  <si>
    <t>Firerighter Bell Curve-C*</t>
  </si>
  <si>
    <t>*currently not on published schedule</t>
  </si>
  <si>
    <t>Paid Every 2 Weeks</t>
  </si>
  <si>
    <t>Compensation Calculations</t>
  </si>
  <si>
    <t>HRIS/Payroll Data</t>
  </si>
  <si>
    <r>
      <t>Career Ladder Promotion Plan - Fire Inspectors:</t>
    </r>
    <r>
      <rPr>
        <sz val="11"/>
        <rFont val="Calibri"/>
        <family val="2"/>
        <scheme val="minor"/>
      </rPr>
      <t xml:space="preserve"> This plan, which is in conformance with the national Fire Protection </t>
    </r>
  </si>
  <si>
    <t>Increase %: 2.5%;  Market Adjustment: 4.00%</t>
  </si>
  <si>
    <t>Effective on January 1, 2022</t>
  </si>
  <si>
    <t>Effective on January 1, 2023</t>
  </si>
  <si>
    <t>Last Updated: October 31, 2023</t>
  </si>
  <si>
    <t>Effective on January 1, 2024</t>
  </si>
  <si>
    <t>Effective on January 1, 2025</t>
  </si>
  <si>
    <t>City of Minneapolis</t>
  </si>
  <si>
    <t>Last updated 12/10/2024</t>
  </si>
  <si>
    <t>Page 1 of 1</t>
  </si>
  <si>
    <t>Data2025</t>
  </si>
  <si>
    <t>IncrPerc2026</t>
  </si>
  <si>
    <t>Data2026</t>
  </si>
  <si>
    <t>IncrPerc2027</t>
  </si>
  <si>
    <t>Increase %: 4.0%</t>
  </si>
  <si>
    <t>Last Updated: August 6, 2026</t>
  </si>
  <si>
    <t>Increase %: 3.0%</t>
  </si>
  <si>
    <t>Data2027</t>
  </si>
  <si>
    <t>IncrPerc2028</t>
  </si>
  <si>
    <t>Effective on January 1, 2026</t>
  </si>
  <si>
    <t>Effective on January 1, 2027</t>
  </si>
  <si>
    <t>Effective on January 1,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</si>
</sst>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"/>
    <numFmt numFmtId="165" formatCode="0.000"/>
    <numFmt numFmtId="166" formatCode="_(&quot;$&quot;* #,##0.000000_);_(&quot;$&quot;* \(#,##0.000000\);_(&quot;$&quot;* &quot;-&quot;??????_);_(@_)"/>
    <numFmt numFmtId="167" formatCode="0.000000"/>
    <numFmt numFmtId="168" formatCode="_(&quot;$&quot;* #,##0.000_);_(&quot;$&quot;* \(#,##0.000\);_(&quot;$&quot;* &quot;-&quot;???_);_(@_)"/>
    <numFmt numFmtId="169" formatCode="0.0000"/>
    <numFmt numFmtId="170" formatCode="_(&quot;$&quot;* #,##0.000_);_(&quot;$&quot;* \(#,##0.000\);_(&quot;$&quot;* &quot;-&quot;??_);_(@_)"/>
    <numFmt numFmtId="171" formatCode="&quot;$&quot;#,##0"/>
    <numFmt numFmtId="172" formatCode="_(&quot;$&quot;* #,##0.000000_);_(&quot;$&quot;* \(#,##0.000000\);_(&quot;$&quot;* &quot;-&quot;??_);_(@_)"/>
    <numFmt numFmtId="173" formatCode="&quot;$&quot;#,##0.00"/>
    <numFmt numFmtId="174" formatCode="0.0%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.5"/>
      <name val="MS Sans Serif"/>
      <family val="2"/>
    </font>
    <font>
      <sz val="10"/>
      <name val="MS Sans Serif"/>
      <family val="2"/>
    </font>
    <font>
      <sz val="10"/>
      <name val="Marigold"/>
      <family val="4"/>
    </font>
    <font>
      <b/>
      <sz val="8.5"/>
      <name val="MS Sans Serif"/>
      <family val="2"/>
    </font>
    <font>
      <sz val="8.5"/>
      <name val="Marigold"/>
      <family val="4"/>
    </font>
    <font>
      <sz val="8.5"/>
      <name val="Arial"/>
      <family val="2"/>
    </font>
    <font>
      <sz val="8"/>
      <name val="Arial"/>
      <family val="2"/>
    </font>
    <font>
      <sz val="8.5"/>
      <name val="Arial"/>
      <family val="2"/>
    </font>
    <font>
      <b/>
      <sz val="9"/>
      <name val="Helv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u val="singleAccounting"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sz val="10"/>
      <color theme="0"/>
      <name val="Arial"/>
      <family val="2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19" fillId="0" borderId="0"/>
    <xf numFmtId="0" fontId="1" fillId="0" borderId="0"/>
    <xf numFmtId="44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3" fillId="0" borderId="0"/>
    <xf numFmtId="9" fontId="40" fillId="0" borderId="0" applyFont="0" applyFill="0" applyBorder="0" applyAlignment="0" applyProtection="0"/>
  </cellStyleXfs>
  <cellXfs count="306">
    <xf numFmtId="0" fontId="0" fillId="0" borderId="0" xfId="0"/>
    <xf numFmtId="0" fontId="4" fillId="0" borderId="0" xfId="0" applyFont="1" applyProtection="1">
      <protection hidden="1"/>
    </xf>
    <xf numFmtId="0" fontId="0" fillId="0" borderId="0" xfId="0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9" fillId="0" borderId="0" xfId="0" applyFont="1" applyProtection="1">
      <protection hidden="1"/>
    </xf>
    <xf numFmtId="165" fontId="0" fillId="0" borderId="0" xfId="0" applyNumberFormat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10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hidden="1"/>
    </xf>
    <xf numFmtId="0" fontId="12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3" fillId="0" borderId="0" xfId="0" applyFont="1" applyProtection="1">
      <protection hidden="1"/>
    </xf>
    <xf numFmtId="44" fontId="14" fillId="0" borderId="0" xfId="1" applyFont="1" applyFill="1" applyAlignment="1" applyProtection="1">
      <protection hidden="1"/>
    </xf>
    <xf numFmtId="8" fontId="14" fillId="0" borderId="0" xfId="0" applyNumberFormat="1" applyFont="1" applyProtection="1">
      <protection hidden="1"/>
    </xf>
    <xf numFmtId="44" fontId="14" fillId="0" borderId="0" xfId="1" applyFont="1" applyFill="1" applyProtection="1">
      <protection hidden="1"/>
    </xf>
    <xf numFmtId="0" fontId="14" fillId="0" borderId="0" xfId="0" applyFont="1" applyProtection="1">
      <protection hidden="1"/>
    </xf>
    <xf numFmtId="44" fontId="13" fillId="0" borderId="0" xfId="1" applyFont="1" applyFill="1" applyProtection="1">
      <protection hidden="1"/>
    </xf>
    <xf numFmtId="3" fontId="15" fillId="0" borderId="0" xfId="0" applyNumberFormat="1" applyFont="1" applyProtection="1">
      <protection hidden="1"/>
    </xf>
    <xf numFmtId="0" fontId="16" fillId="0" borderId="0" xfId="0" applyFont="1" applyProtection="1">
      <protection hidden="1"/>
    </xf>
    <xf numFmtId="8" fontId="0" fillId="0" borderId="0" xfId="0" applyNumberFormat="1" applyProtection="1">
      <protection hidden="1"/>
    </xf>
    <xf numFmtId="0" fontId="5" fillId="2" borderId="0" xfId="0" applyFont="1" applyFill="1" applyAlignment="1" applyProtection="1">
      <alignment horizontal="center" wrapText="1"/>
      <protection hidden="1"/>
    </xf>
    <xf numFmtId="0" fontId="0" fillId="2" borderId="0" xfId="0" applyFill="1" applyAlignment="1" applyProtection="1">
      <alignment horizont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0" fontId="4" fillId="0" borderId="0" xfId="3" applyFont="1" applyAlignment="1" applyProtection="1">
      <alignment horizontal="center"/>
      <protection hidden="1"/>
    </xf>
    <xf numFmtId="3" fontId="6" fillId="0" borderId="0" xfId="3" applyNumberFormat="1" applyAlignment="1" applyProtection="1">
      <alignment horizontal="center"/>
      <protection hidden="1"/>
    </xf>
    <xf numFmtId="0" fontId="6" fillId="0" borderId="0" xfId="3" applyAlignment="1" applyProtection="1">
      <alignment horizontal="center"/>
      <protection hidden="1"/>
    </xf>
    <xf numFmtId="0" fontId="6" fillId="0" borderId="0" xfId="3" applyAlignment="1" applyProtection="1">
      <alignment horizontal="left"/>
      <protection hidden="1"/>
    </xf>
    <xf numFmtId="0" fontId="3" fillId="0" borderId="0" xfId="0" applyFont="1" applyProtection="1">
      <protection hidden="1"/>
    </xf>
    <xf numFmtId="44" fontId="12" fillId="0" borderId="0" xfId="1" applyFont="1" applyFill="1" applyProtection="1">
      <protection hidden="1"/>
    </xf>
    <xf numFmtId="0" fontId="20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20" fillId="0" borderId="0" xfId="0" applyFont="1" applyAlignment="1" applyProtection="1">
      <alignment horizontal="left"/>
      <protection hidden="1"/>
    </xf>
    <xf numFmtId="0" fontId="20" fillId="0" borderId="0" xfId="0" applyFont="1" applyAlignment="1" applyProtection="1">
      <alignment horizontal="center"/>
      <protection hidden="1"/>
    </xf>
    <xf numFmtId="0" fontId="20" fillId="0" borderId="0" xfId="0" applyFont="1" applyAlignment="1" applyProtection="1">
      <alignment horizontal="center" wrapText="1"/>
      <protection hidden="1"/>
    </xf>
    <xf numFmtId="0" fontId="21" fillId="0" borderId="0" xfId="0" applyFont="1" applyAlignment="1" applyProtection="1">
      <alignment horizontal="center"/>
      <protection hidden="1"/>
    </xf>
    <xf numFmtId="3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wrapText="1"/>
      <protection hidden="1"/>
    </xf>
    <xf numFmtId="165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8" fontId="21" fillId="0" borderId="0" xfId="0" applyNumberFormat="1" applyFont="1" applyProtection="1">
      <protection hidden="1"/>
    </xf>
    <xf numFmtId="44" fontId="21" fillId="0" borderId="0" xfId="1" applyFont="1" applyFill="1" applyProtection="1">
      <protection hidden="1"/>
    </xf>
    <xf numFmtId="44" fontId="21" fillId="0" borderId="0" xfId="1" applyFont="1" applyFill="1" applyAlignment="1" applyProtection="1">
      <protection hidden="1"/>
    </xf>
    <xf numFmtId="3" fontId="20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0" fontId="22" fillId="0" borderId="1" xfId="0" applyFont="1" applyBorder="1" applyProtection="1">
      <protection hidden="1"/>
    </xf>
    <xf numFmtId="0" fontId="20" fillId="0" borderId="1" xfId="0" applyFont="1" applyBorder="1" applyProtection="1">
      <protection hidden="1"/>
    </xf>
    <xf numFmtId="0" fontId="21" fillId="0" borderId="1" xfId="0" applyFont="1" applyBorder="1" applyProtection="1"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left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/>
      <protection hidden="1"/>
    </xf>
    <xf numFmtId="3" fontId="21" fillId="0" borderId="1" xfId="0" applyNumberFormat="1" applyFont="1" applyBorder="1" applyAlignment="1" applyProtection="1">
      <alignment horizontal="center"/>
      <protection hidden="1"/>
    </xf>
    <xf numFmtId="0" fontId="21" fillId="0" borderId="1" xfId="0" applyFont="1" applyBorder="1" applyAlignment="1" applyProtection="1">
      <alignment wrapText="1"/>
      <protection hidden="1"/>
    </xf>
    <xf numFmtId="0" fontId="28" fillId="0" borderId="0" xfId="0" applyFont="1" applyProtection="1">
      <protection hidden="1"/>
    </xf>
    <xf numFmtId="166" fontId="27" fillId="0" borderId="0" xfId="1" applyNumberFormat="1" applyFont="1" applyFill="1" applyBorder="1" applyAlignment="1" applyProtection="1">
      <alignment horizontal="center"/>
      <protection hidden="1"/>
    </xf>
    <xf numFmtId="166" fontId="28" fillId="0" borderId="0" xfId="1" applyNumberFormat="1" applyFont="1" applyFill="1" applyBorder="1" applyProtection="1">
      <protection hidden="1"/>
    </xf>
    <xf numFmtId="0" fontId="27" fillId="0" borderId="0" xfId="0" applyFont="1" applyProtection="1">
      <protection hidden="1"/>
    </xf>
    <xf numFmtId="0" fontId="27" fillId="0" borderId="0" xfId="0" applyFont="1" applyAlignment="1" applyProtection="1">
      <alignment horizontal="center" wrapText="1"/>
      <protection hidden="1"/>
    </xf>
    <xf numFmtId="165" fontId="28" fillId="0" borderId="0" xfId="0" applyNumberFormat="1" applyFont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/>
      <protection hidden="1"/>
    </xf>
    <xf numFmtId="167" fontId="28" fillId="0" borderId="0" xfId="1" applyNumberFormat="1" applyFont="1" applyFill="1" applyProtection="1">
      <protection hidden="1"/>
    </xf>
    <xf numFmtId="167" fontId="28" fillId="0" borderId="0" xfId="0" applyNumberFormat="1" applyFont="1" applyProtection="1">
      <protection hidden="1"/>
    </xf>
    <xf numFmtId="8" fontId="28" fillId="0" borderId="0" xfId="0" applyNumberFormat="1" applyFont="1" applyProtection="1">
      <protection hidden="1"/>
    </xf>
    <xf numFmtId="167" fontId="28" fillId="0" borderId="0" xfId="1" applyNumberFormat="1" applyFont="1" applyFill="1" applyAlignme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21" fillId="0" borderId="2" xfId="0" applyFont="1" applyBorder="1" applyProtection="1">
      <protection hidden="1"/>
    </xf>
    <xf numFmtId="0" fontId="20" fillId="0" borderId="2" xfId="0" applyFont="1" applyBorder="1" applyProtection="1">
      <protection hidden="1"/>
    </xf>
    <xf numFmtId="0" fontId="20" fillId="0" borderId="2" xfId="0" applyFont="1" applyBorder="1" applyAlignment="1" applyProtection="1">
      <alignment horizontal="center" wrapText="1"/>
      <protection hidden="1"/>
    </xf>
    <xf numFmtId="3" fontId="21" fillId="0" borderId="2" xfId="0" applyNumberFormat="1" applyFont="1" applyBorder="1" applyAlignment="1" applyProtection="1">
      <alignment horizontal="center"/>
      <protection hidden="1"/>
    </xf>
    <xf numFmtId="0" fontId="28" fillId="0" borderId="0" xfId="0" applyFont="1" applyAlignment="1" applyProtection="1">
      <alignment wrapText="1"/>
      <protection hidden="1"/>
    </xf>
    <xf numFmtId="44" fontId="28" fillId="0" borderId="0" xfId="1" applyFont="1" applyFill="1" applyBorder="1" applyAlignment="1" applyProtection="1">
      <alignment horizontal="center"/>
      <protection hidden="1"/>
    </xf>
    <xf numFmtId="8" fontId="27" fillId="0" borderId="0" xfId="0" applyNumberFormat="1" applyFont="1" applyAlignment="1" applyProtection="1">
      <alignment horizontal="center"/>
      <protection hidden="1"/>
    </xf>
    <xf numFmtId="168" fontId="21" fillId="0" borderId="0" xfId="0" applyNumberFormat="1" applyFont="1" applyProtection="1">
      <protection hidden="1"/>
    </xf>
    <xf numFmtId="0" fontId="1" fillId="0" borderId="0" xfId="5"/>
    <xf numFmtId="0" fontId="1" fillId="0" borderId="0" xfId="5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5" fontId="21" fillId="0" borderId="1" xfId="0" applyNumberFormat="1" applyFont="1" applyBorder="1" applyAlignment="1" applyProtection="1">
      <alignment horizontal="center" vertical="center"/>
      <protection hidden="1"/>
    </xf>
    <xf numFmtId="0" fontId="21" fillId="3" borderId="1" xfId="0" applyFont="1" applyFill="1" applyBorder="1" applyAlignment="1" applyProtection="1">
      <alignment horizontal="center" vertical="center"/>
      <protection hidden="1"/>
    </xf>
    <xf numFmtId="0" fontId="21" fillId="0" borderId="1" xfId="0" applyFont="1" applyBorder="1" applyAlignment="1" applyProtection="1">
      <alignment horizontal="center" vertical="center"/>
      <protection hidden="1"/>
    </xf>
    <xf numFmtId="44" fontId="21" fillId="0" borderId="0" xfId="0" applyNumberFormat="1" applyFont="1" applyProtection="1">
      <protection hidden="1"/>
    </xf>
    <xf numFmtId="44" fontId="21" fillId="0" borderId="0" xfId="1" applyFont="1" applyFill="1" applyBorder="1" applyAlignment="1" applyProtection="1">
      <protection hidden="1"/>
    </xf>
    <xf numFmtId="0" fontId="21" fillId="0" borderId="0" xfId="0" applyFont="1" applyAlignment="1" applyProtection="1">
      <alignment horizontal="right"/>
      <protection hidden="1"/>
    </xf>
    <xf numFmtId="0" fontId="29" fillId="0" borderId="1" xfId="0" applyFont="1" applyBorder="1" applyAlignment="1" applyProtection="1">
      <alignment horizontal="left"/>
      <protection hidden="1"/>
    </xf>
    <xf numFmtId="14" fontId="0" fillId="0" borderId="0" xfId="0" applyNumberFormat="1"/>
    <xf numFmtId="0" fontId="2" fillId="0" borderId="0" xfId="0" applyFont="1"/>
    <xf numFmtId="165" fontId="21" fillId="0" borderId="0" xfId="0" applyNumberFormat="1" applyFont="1" applyProtection="1">
      <protection hidden="1"/>
    </xf>
    <xf numFmtId="169" fontId="21" fillId="0" borderId="0" xfId="0" applyNumberFormat="1" applyFont="1" applyProtection="1">
      <protection hidden="1"/>
    </xf>
    <xf numFmtId="170" fontId="21" fillId="0" borderId="0" xfId="1" applyNumberFormat="1" applyFont="1" applyFill="1" applyProtection="1">
      <protection hidden="1"/>
    </xf>
    <xf numFmtId="0" fontId="21" fillId="0" borderId="0" xfId="0" applyFont="1" applyAlignment="1" applyProtection="1">
      <alignment horizontal="left" wrapText="1"/>
      <protection hidden="1"/>
    </xf>
    <xf numFmtId="8" fontId="28" fillId="0" borderId="0" xfId="0" applyNumberFormat="1" applyFont="1" applyAlignment="1" applyProtection="1">
      <alignment horizontal="center"/>
      <protection hidden="1"/>
    </xf>
    <xf numFmtId="14" fontId="2" fillId="0" borderId="0" xfId="0" applyNumberFormat="1" applyFont="1"/>
    <xf numFmtId="0" fontId="30" fillId="0" borderId="0" xfId="0" applyFont="1" applyAlignment="1" applyProtection="1">
      <alignment horizontal="center"/>
      <protection hidden="1"/>
    </xf>
    <xf numFmtId="0" fontId="31" fillId="0" borderId="0" xfId="0" quotePrefix="1" applyFont="1" applyAlignment="1" applyProtection="1">
      <alignment horizontal="center"/>
      <protection hidden="1"/>
    </xf>
    <xf numFmtId="165" fontId="31" fillId="0" borderId="0" xfId="0" quotePrefix="1" applyNumberFormat="1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center"/>
      <protection hidden="1"/>
    </xf>
    <xf numFmtId="8" fontId="30" fillId="0" borderId="0" xfId="0" applyNumberFormat="1" applyFont="1" applyAlignment="1" applyProtection="1">
      <alignment horizontal="center"/>
      <protection hidden="1"/>
    </xf>
    <xf numFmtId="0" fontId="31" fillId="0" borderId="4" xfId="0" applyFont="1" applyBorder="1" applyAlignment="1" applyProtection="1">
      <alignment horizontal="center"/>
      <protection hidden="1"/>
    </xf>
    <xf numFmtId="14" fontId="31" fillId="0" borderId="5" xfId="0" applyNumberFormat="1" applyFont="1" applyBorder="1" applyAlignment="1" applyProtection="1">
      <alignment horizontal="center"/>
      <protection hidden="1"/>
    </xf>
    <xf numFmtId="165" fontId="21" fillId="0" borderId="6" xfId="0" applyNumberFormat="1" applyFont="1" applyBorder="1" applyAlignment="1" applyProtection="1">
      <alignment horizontal="center"/>
      <protection hidden="1"/>
    </xf>
    <xf numFmtId="165" fontId="21" fillId="0" borderId="7" xfId="0" applyNumberFormat="1" applyFont="1" applyBorder="1" applyAlignment="1" applyProtection="1">
      <alignment horizontal="center"/>
      <protection hidden="1"/>
    </xf>
    <xf numFmtId="165" fontId="21" fillId="0" borderId="8" xfId="0" applyNumberFormat="1" applyFont="1" applyBorder="1" applyAlignment="1" applyProtection="1">
      <alignment horizontal="center"/>
      <protection hidden="1"/>
    </xf>
    <xf numFmtId="0" fontId="33" fillId="0" borderId="0" xfId="8"/>
    <xf numFmtId="167" fontId="33" fillId="0" borderId="0" xfId="8" applyNumberFormat="1"/>
    <xf numFmtId="1" fontId="33" fillId="0" borderId="0" xfId="8" applyNumberFormat="1"/>
    <xf numFmtId="14" fontId="33" fillId="0" borderId="0" xfId="8" applyNumberFormat="1"/>
    <xf numFmtId="167" fontId="33" fillId="4" borderId="0" xfId="8" applyNumberFormat="1" applyFill="1"/>
    <xf numFmtId="0" fontId="33" fillId="4" borderId="0" xfId="8" applyFill="1"/>
    <xf numFmtId="1" fontId="33" fillId="4" borderId="0" xfId="8" applyNumberFormat="1" applyFill="1"/>
    <xf numFmtId="14" fontId="33" fillId="4" borderId="0" xfId="8" applyNumberFormat="1" applyFill="1"/>
    <xf numFmtId="0" fontId="34" fillId="5" borderId="9" xfId="8" applyFont="1" applyFill="1" applyBorder="1"/>
    <xf numFmtId="165" fontId="33" fillId="0" borderId="0" xfId="8" applyNumberFormat="1"/>
    <xf numFmtId="43" fontId="31" fillId="0" borderId="0" xfId="7" applyFont="1" applyFill="1" applyBorder="1" applyAlignment="1" applyProtection="1">
      <alignment horizontal="center"/>
      <protection hidden="1"/>
    </xf>
    <xf numFmtId="1" fontId="0" fillId="0" borderId="0" xfId="0" applyNumberFormat="1"/>
    <xf numFmtId="167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6" borderId="0" xfId="0" applyFill="1"/>
    <xf numFmtId="0" fontId="0" fillId="7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70" fontId="21" fillId="0" borderId="0" xfId="0" applyNumberFormat="1" applyFont="1" applyProtection="1">
      <protection hidden="1"/>
    </xf>
    <xf numFmtId="164" fontId="0" fillId="0" borderId="0" xfId="0" applyNumberFormat="1"/>
    <xf numFmtId="170" fontId="21" fillId="3" borderId="0" xfId="0" applyNumberFormat="1" applyFont="1" applyFill="1" applyProtection="1">
      <protection hidden="1"/>
    </xf>
    <xf numFmtId="168" fontId="21" fillId="0" borderId="0" xfId="1" applyNumberFormat="1" applyFont="1" applyFill="1" applyProtection="1">
      <protection hidden="1"/>
    </xf>
    <xf numFmtId="44" fontId="21" fillId="0" borderId="0" xfId="1" applyFont="1" applyFill="1" applyBorder="1" applyAlignment="1" applyProtection="1">
      <alignment horizontal="center"/>
      <protection hidden="1"/>
    </xf>
    <xf numFmtId="8" fontId="20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 wrapText="1"/>
      <protection hidden="1"/>
    </xf>
    <xf numFmtId="165" fontId="21" fillId="0" borderId="1" xfId="0" applyNumberFormat="1" applyFont="1" applyBorder="1" applyAlignment="1" applyProtection="1">
      <alignment horizontal="center"/>
      <protection hidden="1"/>
    </xf>
    <xf numFmtId="2" fontId="33" fillId="0" borderId="0" xfId="8" applyNumberFormat="1"/>
    <xf numFmtId="0" fontId="34" fillId="5" borderId="9" xfId="8" applyFont="1" applyFill="1" applyBorder="1" applyAlignment="1">
      <alignment horizontal="center"/>
    </xf>
    <xf numFmtId="0" fontId="33" fillId="0" borderId="0" xfId="8" applyAlignment="1">
      <alignment horizontal="center"/>
    </xf>
    <xf numFmtId="165" fontId="20" fillId="0" borderId="0" xfId="0" applyNumberFormat="1" applyFont="1" applyProtection="1">
      <protection hidden="1"/>
    </xf>
    <xf numFmtId="170" fontId="28" fillId="0" borderId="0" xfId="1" applyNumberFormat="1" applyFont="1" applyFill="1" applyProtection="1">
      <protection hidden="1"/>
    </xf>
    <xf numFmtId="44" fontId="28" fillId="0" borderId="0" xfId="1" applyFont="1" applyFill="1" applyProtection="1">
      <protection hidden="1"/>
    </xf>
    <xf numFmtId="170" fontId="28" fillId="0" borderId="0" xfId="0" applyNumberFormat="1" applyFont="1" applyProtection="1">
      <protection hidden="1"/>
    </xf>
    <xf numFmtId="164" fontId="28" fillId="0" borderId="0" xfId="1" applyNumberFormat="1" applyFont="1" applyFill="1" applyProtection="1">
      <protection hidden="1"/>
    </xf>
    <xf numFmtId="164" fontId="28" fillId="0" borderId="0" xfId="1" applyNumberFormat="1" applyFont="1" applyFill="1" applyAlignment="1" applyProtection="1">
      <protection hidden="1"/>
    </xf>
    <xf numFmtId="164" fontId="28" fillId="0" borderId="0" xfId="0" applyNumberFormat="1" applyFont="1" applyProtection="1">
      <protection hidden="1"/>
    </xf>
    <xf numFmtId="165" fontId="28" fillId="0" borderId="0" xfId="0" applyNumberFormat="1" applyFont="1" applyProtection="1">
      <protection hidden="1"/>
    </xf>
    <xf numFmtId="165" fontId="28" fillId="0" borderId="0" xfId="1" applyNumberFormat="1" applyFont="1" applyFill="1" applyProtection="1">
      <protection hidden="1"/>
    </xf>
    <xf numFmtId="165" fontId="28" fillId="0" borderId="0" xfId="1" applyNumberFormat="1" applyFont="1" applyFill="1" applyAlignment="1" applyProtection="1">
      <protection hidden="1"/>
    </xf>
    <xf numFmtId="0" fontId="35" fillId="0" borderId="0" xfId="0" applyFont="1" applyProtection="1"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164" fontId="21" fillId="0" borderId="1" xfId="0" applyNumberFormat="1" applyFont="1" applyBorder="1" applyAlignment="1" applyProtection="1">
      <alignment horizontal="center"/>
      <protection hidden="1"/>
    </xf>
    <xf numFmtId="164" fontId="21" fillId="0" borderId="1" xfId="1" applyNumberFormat="1" applyFont="1" applyFill="1" applyBorder="1" applyAlignment="1" applyProtection="1">
      <alignment horizontal="center"/>
      <protection hidden="1"/>
    </xf>
    <xf numFmtId="0" fontId="20" fillId="8" borderId="1" xfId="0" applyFont="1" applyFill="1" applyBorder="1" applyAlignment="1" applyProtection="1">
      <alignment horizontal="center"/>
      <protection hidden="1"/>
    </xf>
    <xf numFmtId="164" fontId="21" fillId="8" borderId="1" xfId="1" applyNumberFormat="1" applyFont="1" applyFill="1" applyBorder="1" applyAlignment="1" applyProtection="1">
      <alignment horizontal="center"/>
      <protection hidden="1"/>
    </xf>
    <xf numFmtId="164" fontId="21" fillId="8" borderId="1" xfId="0" applyNumberFormat="1" applyFont="1" applyFill="1" applyBorder="1" applyAlignment="1" applyProtection="1">
      <alignment horizontal="center"/>
      <protection hidden="1"/>
    </xf>
    <xf numFmtId="0" fontId="20" fillId="8" borderId="1" xfId="0" applyFont="1" applyFill="1" applyBorder="1" applyAlignment="1" applyProtection="1">
      <alignment horizontal="center" wrapText="1"/>
      <protection hidden="1"/>
    </xf>
    <xf numFmtId="0" fontId="21" fillId="8" borderId="1" xfId="0" applyFont="1" applyFill="1" applyBorder="1" applyProtection="1">
      <protection hidden="1"/>
    </xf>
    <xf numFmtId="0" fontId="21" fillId="8" borderId="1" xfId="0" applyFont="1" applyFill="1" applyBorder="1" applyAlignment="1" applyProtection="1">
      <alignment horizontal="center"/>
      <protection hidden="1"/>
    </xf>
    <xf numFmtId="0" fontId="21" fillId="8" borderId="1" xfId="0" applyFont="1" applyFill="1" applyBorder="1" applyAlignment="1" applyProtection="1">
      <alignment wrapText="1"/>
      <protection hidden="1"/>
    </xf>
    <xf numFmtId="0" fontId="22" fillId="0" borderId="12" xfId="0" applyFont="1" applyBorder="1" applyProtection="1">
      <protection hidden="1"/>
    </xf>
    <xf numFmtId="0" fontId="20" fillId="0" borderId="12" xfId="0" applyFont="1" applyBorder="1" applyProtection="1">
      <protection hidden="1"/>
    </xf>
    <xf numFmtId="0" fontId="20" fillId="0" borderId="4" xfId="0" applyFont="1" applyBorder="1" applyProtection="1">
      <protection hidden="1"/>
    </xf>
    <xf numFmtId="0" fontId="20" fillId="0" borderId="13" xfId="0" applyFont="1" applyBorder="1" applyAlignment="1" applyProtection="1">
      <alignment horizontal="center"/>
      <protection hidden="1"/>
    </xf>
    <xf numFmtId="0" fontId="29" fillId="0" borderId="0" xfId="0" applyFont="1" applyAlignment="1" applyProtection="1">
      <alignment horizontal="left"/>
      <protection hidden="1"/>
    </xf>
    <xf numFmtId="0" fontId="21" fillId="0" borderId="13" xfId="0" applyFont="1" applyBorder="1" applyAlignment="1" applyProtection="1">
      <alignment horizontal="center"/>
      <protection hidden="1"/>
    </xf>
    <xf numFmtId="0" fontId="21" fillId="0" borderId="13" xfId="0" applyFont="1" applyBorder="1" applyProtection="1">
      <protection hidden="1"/>
    </xf>
    <xf numFmtId="0" fontId="20" fillId="0" borderId="14" xfId="0" applyFont="1" applyBorder="1" applyAlignment="1" applyProtection="1">
      <alignment horizontal="center"/>
      <protection hidden="1"/>
    </xf>
    <xf numFmtId="0" fontId="20" fillId="0" borderId="15" xfId="0" applyFont="1" applyBorder="1" applyAlignment="1" applyProtection="1">
      <alignment horizontal="center" wrapText="1"/>
      <protection hidden="1"/>
    </xf>
    <xf numFmtId="0" fontId="20" fillId="0" borderId="15" xfId="0" applyFont="1" applyBorder="1" applyAlignment="1" applyProtection="1">
      <alignment horizontal="center"/>
      <protection hidden="1"/>
    </xf>
    <xf numFmtId="0" fontId="20" fillId="0" borderId="16" xfId="0" applyFont="1" applyBorder="1" applyAlignment="1" applyProtection="1">
      <alignment horizontal="center" wrapText="1"/>
      <protection hidden="1"/>
    </xf>
    <xf numFmtId="0" fontId="21" fillId="0" borderId="17" xfId="0" applyFont="1" applyBorder="1" applyAlignment="1" applyProtection="1">
      <alignment horizontal="center"/>
      <protection hidden="1"/>
    </xf>
    <xf numFmtId="0" fontId="21" fillId="0" borderId="19" xfId="0" applyFont="1" applyBorder="1" applyAlignment="1" applyProtection="1">
      <alignment horizontal="center"/>
      <protection hidden="1"/>
    </xf>
    <xf numFmtId="0" fontId="21" fillId="0" borderId="21" xfId="0" applyFont="1" applyBorder="1" applyAlignment="1" applyProtection="1">
      <alignment horizontal="center"/>
      <protection hidden="1"/>
    </xf>
    <xf numFmtId="0" fontId="21" fillId="0" borderId="22" xfId="0" applyFont="1" applyBorder="1" applyAlignment="1" applyProtection="1">
      <alignment horizontal="center"/>
      <protection hidden="1"/>
    </xf>
    <xf numFmtId="0" fontId="21" fillId="0" borderId="22" xfId="0" applyFont="1" applyBorder="1" applyProtection="1">
      <protection hidden="1"/>
    </xf>
    <xf numFmtId="0" fontId="20" fillId="0" borderId="22" xfId="0" applyFont="1" applyBorder="1" applyProtection="1">
      <protection hidden="1"/>
    </xf>
    <xf numFmtId="171" fontId="21" fillId="0" borderId="13" xfId="0" applyNumberFormat="1" applyFont="1" applyBorder="1" applyAlignment="1" applyProtection="1">
      <alignment horizontal="center"/>
      <protection hidden="1"/>
    </xf>
    <xf numFmtId="171" fontId="20" fillId="0" borderId="13" xfId="0" applyNumberFormat="1" applyFont="1" applyBorder="1" applyAlignment="1" applyProtection="1">
      <alignment horizontal="center" wrapText="1"/>
      <protection hidden="1"/>
    </xf>
    <xf numFmtId="171" fontId="20" fillId="0" borderId="18" xfId="0" applyNumberFormat="1" applyFont="1" applyBorder="1" applyAlignment="1" applyProtection="1">
      <alignment horizontal="center" wrapText="1"/>
      <protection hidden="1"/>
    </xf>
    <xf numFmtId="171" fontId="21" fillId="0" borderId="1" xfId="0" applyNumberFormat="1" applyFont="1" applyBorder="1" applyAlignment="1" applyProtection="1">
      <alignment horizontal="center"/>
      <protection hidden="1"/>
    </xf>
    <xf numFmtId="171" fontId="21" fillId="0" borderId="20" xfId="0" applyNumberFormat="1" applyFont="1" applyBorder="1" applyAlignment="1" applyProtection="1">
      <alignment horizontal="center"/>
      <protection hidden="1"/>
    </xf>
    <xf numFmtId="171" fontId="21" fillId="0" borderId="22" xfId="0" applyNumberFormat="1" applyFont="1" applyBorder="1" applyAlignment="1" applyProtection="1">
      <alignment horizontal="center"/>
      <protection hidden="1"/>
    </xf>
    <xf numFmtId="171" fontId="21" fillId="0" borderId="23" xfId="0" applyNumberFormat="1" applyFont="1" applyBorder="1" applyAlignment="1" applyProtection="1">
      <alignment horizontal="center"/>
      <protection hidden="1"/>
    </xf>
    <xf numFmtId="0" fontId="20" fillId="0" borderId="24" xfId="0" applyFont="1" applyBorder="1" applyProtection="1">
      <protection hidden="1"/>
    </xf>
    <xf numFmtId="0" fontId="21" fillId="8" borderId="1" xfId="0" applyFont="1" applyFill="1" applyBorder="1" applyAlignment="1" applyProtection="1">
      <alignment horizontal="center" wrapText="1"/>
      <protection hidden="1"/>
    </xf>
    <xf numFmtId="49" fontId="21" fillId="0" borderId="1" xfId="0" applyNumberFormat="1" applyFont="1" applyBorder="1" applyAlignment="1" applyProtection="1">
      <alignment horizontal="center"/>
      <protection hidden="1"/>
    </xf>
    <xf numFmtId="49" fontId="21" fillId="0" borderId="26" xfId="0" applyNumberFormat="1" applyFont="1" applyBorder="1" applyAlignment="1" applyProtection="1">
      <alignment horizontal="center"/>
      <protection hidden="1"/>
    </xf>
    <xf numFmtId="0" fontId="21" fillId="0" borderId="27" xfId="0" applyFont="1" applyBorder="1" applyAlignment="1" applyProtection="1">
      <alignment horizontal="center"/>
      <protection hidden="1"/>
    </xf>
    <xf numFmtId="0" fontId="21" fillId="0" borderId="27" xfId="0" applyFont="1" applyBorder="1" applyProtection="1">
      <protection hidden="1"/>
    </xf>
    <xf numFmtId="0" fontId="20" fillId="0" borderId="27" xfId="0" applyFont="1" applyBorder="1" applyProtection="1">
      <protection hidden="1"/>
    </xf>
    <xf numFmtId="171" fontId="21" fillId="0" borderId="27" xfId="0" applyNumberFormat="1" applyFont="1" applyBorder="1" applyAlignment="1" applyProtection="1">
      <alignment horizontal="center"/>
      <protection hidden="1"/>
    </xf>
    <xf numFmtId="171" fontId="21" fillId="0" borderId="28" xfId="0" applyNumberFormat="1" applyFont="1" applyBorder="1" applyAlignment="1" applyProtection="1">
      <alignment horizontal="center"/>
      <protection hidden="1"/>
    </xf>
    <xf numFmtId="171" fontId="21" fillId="0" borderId="18" xfId="0" applyNumberFormat="1" applyFont="1" applyBorder="1" applyAlignment="1" applyProtection="1">
      <alignment horizontal="center"/>
      <protection hidden="1"/>
    </xf>
    <xf numFmtId="0" fontId="20" fillId="8" borderId="0" xfId="0" applyFont="1" applyFill="1" applyAlignment="1" applyProtection="1">
      <alignment horizontal="center"/>
      <protection hidden="1"/>
    </xf>
    <xf numFmtId="164" fontId="21" fillId="8" borderId="0" xfId="0" applyNumberFormat="1" applyFont="1" applyFill="1" applyAlignment="1" applyProtection="1">
      <alignment horizontal="center"/>
      <protection hidden="1"/>
    </xf>
    <xf numFmtId="0" fontId="20" fillId="8" borderId="1" xfId="0" applyFont="1" applyFill="1" applyBorder="1" applyAlignment="1" applyProtection="1">
      <alignment horizontal="left" wrapText="1"/>
      <protection hidden="1"/>
    </xf>
    <xf numFmtId="0" fontId="21" fillId="8" borderId="0" xfId="0" applyFont="1" applyFill="1" applyProtection="1">
      <protection hidden="1"/>
    </xf>
    <xf numFmtId="164" fontId="21" fillId="8" borderId="1" xfId="0" applyNumberFormat="1" applyFont="1" applyFill="1" applyBorder="1" applyProtection="1">
      <protection hidden="1"/>
    </xf>
    <xf numFmtId="0" fontId="20" fillId="8" borderId="1" xfId="0" applyFont="1" applyFill="1" applyBorder="1" applyProtection="1">
      <protection hidden="1"/>
    </xf>
    <xf numFmtId="164" fontId="20" fillId="8" borderId="1" xfId="0" applyNumberFormat="1" applyFont="1" applyFill="1" applyBorder="1" applyProtection="1">
      <protection hidden="1"/>
    </xf>
    <xf numFmtId="164" fontId="21" fillId="8" borderId="0" xfId="0" applyNumberFormat="1" applyFont="1" applyFill="1" applyProtection="1">
      <protection hidden="1"/>
    </xf>
    <xf numFmtId="0" fontId="20" fillId="6" borderId="0" xfId="0" applyFont="1" applyFill="1" applyAlignment="1" applyProtection="1">
      <alignment horizontal="center"/>
      <protection hidden="1"/>
    </xf>
    <xf numFmtId="0" fontId="21" fillId="6" borderId="0" xfId="0" applyFont="1" applyFill="1" applyProtection="1">
      <protection hidden="1"/>
    </xf>
    <xf numFmtId="0" fontId="20" fillId="6" borderId="0" xfId="0" applyFont="1" applyFill="1" applyProtection="1">
      <protection hidden="1"/>
    </xf>
    <xf numFmtId="10" fontId="21" fillId="6" borderId="0" xfId="0" applyNumberFormat="1" applyFont="1" applyFill="1" applyAlignment="1" applyProtection="1">
      <alignment horizontal="center"/>
      <protection hidden="1"/>
    </xf>
    <xf numFmtId="0" fontId="21" fillId="6" borderId="0" xfId="0" applyFont="1" applyFill="1" applyAlignment="1" applyProtection="1">
      <alignment horizontal="left"/>
      <protection hidden="1"/>
    </xf>
    <xf numFmtId="0" fontId="20" fillId="6" borderId="1" xfId="0" applyFont="1" applyFill="1" applyBorder="1" applyAlignment="1" applyProtection="1">
      <alignment horizontal="center" wrapText="1"/>
      <protection hidden="1"/>
    </xf>
    <xf numFmtId="0" fontId="20" fillId="6" borderId="1" xfId="0" applyFont="1" applyFill="1" applyBorder="1" applyAlignment="1" applyProtection="1">
      <alignment horizontal="center"/>
      <protection hidden="1"/>
    </xf>
    <xf numFmtId="0" fontId="21" fillId="6" borderId="1" xfId="0" applyFont="1" applyFill="1" applyBorder="1" applyProtection="1">
      <protection hidden="1"/>
    </xf>
    <xf numFmtId="0" fontId="21" fillId="6" borderId="1" xfId="0" applyFont="1" applyFill="1" applyBorder="1" applyAlignment="1" applyProtection="1">
      <alignment horizontal="center" wrapText="1"/>
      <protection hidden="1"/>
    </xf>
    <xf numFmtId="0" fontId="21" fillId="6" borderId="1" xfId="0" applyFont="1" applyFill="1" applyBorder="1" applyAlignment="1" applyProtection="1">
      <alignment horizontal="center"/>
      <protection hidden="1"/>
    </xf>
    <xf numFmtId="164" fontId="21" fillId="6" borderId="1" xfId="0" applyNumberFormat="1" applyFont="1" applyFill="1" applyBorder="1" applyAlignment="1" applyProtection="1">
      <alignment horizontal="center"/>
      <protection hidden="1"/>
    </xf>
    <xf numFmtId="0" fontId="21" fillId="6" borderId="1" xfId="0" applyFont="1" applyFill="1" applyBorder="1" applyAlignment="1" applyProtection="1">
      <alignment wrapText="1"/>
      <protection hidden="1"/>
    </xf>
    <xf numFmtId="0" fontId="20" fillId="6" borderId="0" xfId="0" applyFont="1" applyFill="1" applyAlignment="1" applyProtection="1">
      <alignment horizontal="left"/>
      <protection hidden="1"/>
    </xf>
    <xf numFmtId="0" fontId="21" fillId="6" borderId="0" xfId="0" applyFont="1" applyFill="1" applyAlignment="1" applyProtection="1">
      <alignment horizontal="center"/>
      <protection hidden="1"/>
    </xf>
    <xf numFmtId="164" fontId="21" fillId="6" borderId="0" xfId="0" applyNumberFormat="1" applyFont="1" applyFill="1" applyAlignment="1" applyProtection="1">
      <alignment horizontal="center"/>
      <protection hidden="1"/>
    </xf>
    <xf numFmtId="8" fontId="21" fillId="6" borderId="0" xfId="0" applyNumberFormat="1" applyFont="1" applyFill="1" applyProtection="1">
      <protection hidden="1"/>
    </xf>
    <xf numFmtId="8" fontId="20" fillId="6" borderId="0" xfId="0" applyNumberFormat="1" applyFont="1" applyFill="1" applyAlignment="1" applyProtection="1">
      <alignment horizontal="center"/>
      <protection hidden="1"/>
    </xf>
    <xf numFmtId="0" fontId="21" fillId="6" borderId="1" xfId="0" applyFont="1" applyFill="1" applyBorder="1" applyAlignment="1" applyProtection="1">
      <alignment horizontal="left"/>
      <protection hidden="1"/>
    </xf>
    <xf numFmtId="0" fontId="20" fillId="9" borderId="0" xfId="0" applyFont="1" applyFill="1" applyAlignment="1" applyProtection="1">
      <alignment horizontal="center"/>
      <protection hidden="1"/>
    </xf>
    <xf numFmtId="0" fontId="21" fillId="9" borderId="0" xfId="0" applyFont="1" applyFill="1" applyProtection="1">
      <protection hidden="1"/>
    </xf>
    <xf numFmtId="0" fontId="20" fillId="9" borderId="0" xfId="0" applyFont="1" applyFill="1" applyProtection="1">
      <protection hidden="1"/>
    </xf>
    <xf numFmtId="10" fontId="21" fillId="9" borderId="0" xfId="0" applyNumberFormat="1" applyFont="1" applyFill="1" applyAlignment="1" applyProtection="1">
      <alignment horizontal="center"/>
      <protection hidden="1"/>
    </xf>
    <xf numFmtId="0" fontId="21" fillId="9" borderId="0" xfId="0" applyFont="1" applyFill="1" applyAlignment="1" applyProtection="1">
      <alignment horizontal="left"/>
      <protection hidden="1"/>
    </xf>
    <xf numFmtId="0" fontId="20" fillId="9" borderId="1" xfId="0" applyFont="1" applyFill="1" applyBorder="1" applyAlignment="1" applyProtection="1">
      <alignment horizontal="center" wrapText="1"/>
      <protection hidden="1"/>
    </xf>
    <xf numFmtId="0" fontId="20" fillId="9" borderId="1" xfId="0" applyFont="1" applyFill="1" applyBorder="1" applyAlignment="1" applyProtection="1">
      <alignment horizontal="center"/>
      <protection hidden="1"/>
    </xf>
    <xf numFmtId="0" fontId="21" fillId="9" borderId="1" xfId="0" applyFont="1" applyFill="1" applyBorder="1" applyProtection="1">
      <protection hidden="1"/>
    </xf>
    <xf numFmtId="0" fontId="21" fillId="9" borderId="1" xfId="0" applyFont="1" applyFill="1" applyBorder="1" applyAlignment="1" applyProtection="1">
      <alignment horizontal="center" wrapText="1"/>
      <protection hidden="1"/>
    </xf>
    <xf numFmtId="0" fontId="21" fillId="9" borderId="1" xfId="0" applyFont="1" applyFill="1" applyBorder="1" applyAlignment="1" applyProtection="1">
      <alignment horizontal="center"/>
      <protection hidden="1"/>
    </xf>
    <xf numFmtId="164" fontId="21" fillId="9" borderId="1" xfId="0" applyNumberFormat="1" applyFont="1" applyFill="1" applyBorder="1" applyAlignment="1" applyProtection="1">
      <alignment horizontal="center"/>
      <protection hidden="1"/>
    </xf>
    <xf numFmtId="0" fontId="21" fillId="9" borderId="1" xfId="0" applyFont="1" applyFill="1" applyBorder="1" applyAlignment="1" applyProtection="1">
      <alignment wrapText="1"/>
      <protection hidden="1"/>
    </xf>
    <xf numFmtId="0" fontId="20" fillId="9" borderId="0" xfId="0" applyFont="1" applyFill="1" applyAlignment="1" applyProtection="1">
      <alignment horizontal="left"/>
      <protection hidden="1"/>
    </xf>
    <xf numFmtId="0" fontId="21" fillId="9" borderId="0" xfId="0" applyFont="1" applyFill="1" applyAlignment="1" applyProtection="1">
      <alignment horizontal="center"/>
      <protection hidden="1"/>
    </xf>
    <xf numFmtId="164" fontId="21" fillId="9" borderId="0" xfId="0" applyNumberFormat="1" applyFont="1" applyFill="1" applyAlignment="1" applyProtection="1">
      <alignment horizontal="center"/>
      <protection hidden="1"/>
    </xf>
    <xf numFmtId="8" fontId="21" fillId="9" borderId="0" xfId="0" applyNumberFormat="1" applyFont="1" applyFill="1" applyProtection="1">
      <protection hidden="1"/>
    </xf>
    <xf numFmtId="8" fontId="20" fillId="9" borderId="0" xfId="0" applyNumberFormat="1" applyFont="1" applyFill="1" applyAlignment="1" applyProtection="1">
      <alignment horizontal="center"/>
      <protection hidden="1"/>
    </xf>
    <xf numFmtId="0" fontId="36" fillId="0" borderId="12" xfId="0" applyFont="1" applyBorder="1" applyProtection="1">
      <protection hidden="1"/>
    </xf>
    <xf numFmtId="0" fontId="36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/>
      <protection hidden="1"/>
    </xf>
    <xf numFmtId="0" fontId="20" fillId="8" borderId="0" xfId="0" applyFont="1" applyFill="1" applyProtection="1">
      <protection hidden="1"/>
    </xf>
    <xf numFmtId="0" fontId="20" fillId="0" borderId="32" xfId="0" applyFont="1" applyBorder="1" applyAlignment="1" applyProtection="1">
      <alignment horizontal="center"/>
      <protection hidden="1"/>
    </xf>
    <xf numFmtId="0" fontId="21" fillId="0" borderId="33" xfId="0" applyFont="1" applyBorder="1" applyAlignment="1" applyProtection="1">
      <alignment horizontal="center"/>
      <protection hidden="1"/>
    </xf>
    <xf numFmtId="0" fontId="21" fillId="0" borderId="2" xfId="0" applyFont="1" applyBorder="1" applyAlignment="1" applyProtection="1">
      <alignment horizontal="center"/>
      <protection hidden="1"/>
    </xf>
    <xf numFmtId="0" fontId="21" fillId="0" borderId="34" xfId="0" applyFont="1" applyBorder="1" applyAlignment="1" applyProtection="1">
      <alignment horizontal="center"/>
      <protection hidden="1"/>
    </xf>
    <xf numFmtId="171" fontId="21" fillId="0" borderId="19" xfId="0" applyNumberFormat="1" applyFont="1" applyBorder="1" applyAlignment="1" applyProtection="1">
      <alignment horizontal="center"/>
      <protection hidden="1"/>
    </xf>
    <xf numFmtId="171" fontId="21" fillId="0" borderId="21" xfId="0" applyNumberFormat="1" applyFont="1" applyBorder="1" applyAlignment="1" applyProtection="1">
      <alignment horizontal="center"/>
      <protection hidden="1"/>
    </xf>
    <xf numFmtId="0" fontId="20" fillId="0" borderId="35" xfId="0" applyFont="1" applyBorder="1" applyAlignment="1" applyProtection="1">
      <alignment horizontal="center" wrapText="1"/>
      <protection hidden="1"/>
    </xf>
    <xf numFmtId="0" fontId="20" fillId="0" borderId="36" xfId="0" applyFont="1" applyBorder="1" applyAlignment="1" applyProtection="1">
      <alignment horizontal="center" wrapText="1"/>
      <protection hidden="1"/>
    </xf>
    <xf numFmtId="0" fontId="20" fillId="0" borderId="37" xfId="0" applyFont="1" applyBorder="1" applyAlignment="1" applyProtection="1">
      <alignment horizontal="center" wrapText="1"/>
      <protection hidden="1"/>
    </xf>
    <xf numFmtId="171" fontId="21" fillId="0" borderId="29" xfId="0" applyNumberFormat="1" applyFont="1" applyBorder="1" applyAlignment="1" applyProtection="1">
      <alignment horizontal="center"/>
      <protection hidden="1"/>
    </xf>
    <xf numFmtId="171" fontId="20" fillId="0" borderId="30" xfId="0" applyNumberFormat="1" applyFont="1" applyBorder="1" applyAlignment="1" applyProtection="1">
      <alignment horizontal="center" wrapText="1"/>
      <protection hidden="1"/>
    </xf>
    <xf numFmtId="171" fontId="20" fillId="0" borderId="31" xfId="0" applyNumberFormat="1" applyFont="1" applyBorder="1" applyAlignment="1" applyProtection="1">
      <alignment horizontal="center" wrapText="1"/>
      <protection hidden="1"/>
    </xf>
    <xf numFmtId="164" fontId="21" fillId="0" borderId="0" xfId="0" applyNumberFormat="1" applyFont="1" applyAlignment="1" applyProtection="1">
      <alignment horizontal="left"/>
      <protection hidden="1"/>
    </xf>
    <xf numFmtId="164" fontId="20" fillId="0" borderId="0" xfId="0" applyNumberFormat="1" applyFont="1" applyProtection="1">
      <protection hidden="1"/>
    </xf>
    <xf numFmtId="172" fontId="21" fillId="0" borderId="0" xfId="1" applyNumberFormat="1" applyFont="1" applyFill="1" applyProtection="1">
      <protection hidden="1"/>
    </xf>
    <xf numFmtId="0" fontId="21" fillId="6" borderId="12" xfId="0" applyFont="1" applyFill="1" applyBorder="1" applyProtection="1">
      <protection hidden="1"/>
    </xf>
    <xf numFmtId="164" fontId="21" fillId="6" borderId="1" xfId="0" applyNumberFormat="1" applyFont="1" applyFill="1" applyBorder="1" applyProtection="1">
      <protection hidden="1"/>
    </xf>
    <xf numFmtId="164" fontId="21" fillId="9" borderId="1" xfId="0" applyNumberFormat="1" applyFont="1" applyFill="1" applyBorder="1" applyProtection="1">
      <protection hidden="1"/>
    </xf>
    <xf numFmtId="0" fontId="20" fillId="6" borderId="12" xfId="0" applyFont="1" applyFill="1" applyBorder="1" applyProtection="1">
      <protection hidden="1"/>
    </xf>
    <xf numFmtId="0" fontId="20" fillId="6" borderId="12" xfId="0" applyFont="1" applyFill="1" applyBorder="1" applyAlignment="1" applyProtection="1">
      <alignment horizontal="center"/>
      <protection hidden="1"/>
    </xf>
    <xf numFmtId="0" fontId="20" fillId="6" borderId="12" xfId="0" applyFont="1" applyFill="1" applyBorder="1" applyAlignment="1" applyProtection="1">
      <alignment horizontal="left"/>
      <protection hidden="1"/>
    </xf>
    <xf numFmtId="0" fontId="21" fillId="9" borderId="1" xfId="0" applyFont="1" applyFill="1" applyBorder="1" applyAlignment="1" applyProtection="1">
      <alignment horizontal="left"/>
      <protection hidden="1"/>
    </xf>
    <xf numFmtId="0" fontId="21" fillId="7" borderId="1" xfId="0" applyFont="1" applyFill="1" applyBorder="1" applyProtection="1">
      <protection hidden="1"/>
    </xf>
    <xf numFmtId="0" fontId="36" fillId="0" borderId="0" xfId="0" applyFont="1" applyProtection="1">
      <protection hidden="1"/>
    </xf>
    <xf numFmtId="0" fontId="36" fillId="0" borderId="36" xfId="0" applyFont="1" applyBorder="1" applyProtection="1">
      <protection hidden="1"/>
    </xf>
    <xf numFmtId="0" fontId="20" fillId="0" borderId="36" xfId="0" applyFont="1" applyBorder="1" applyProtection="1">
      <protection hidden="1"/>
    </xf>
    <xf numFmtId="0" fontId="20" fillId="0" borderId="6" xfId="0" applyFont="1" applyBorder="1" applyProtection="1">
      <protection hidden="1"/>
    </xf>
    <xf numFmtId="173" fontId="21" fillId="6" borderId="1" xfId="0" applyNumberFormat="1" applyFont="1" applyFill="1" applyBorder="1" applyAlignment="1" applyProtection="1">
      <alignment horizontal="center"/>
      <protection hidden="1"/>
    </xf>
    <xf numFmtId="173" fontId="21" fillId="6" borderId="0" xfId="0" applyNumberFormat="1" applyFont="1" applyFill="1" applyProtection="1">
      <protection hidden="1"/>
    </xf>
    <xf numFmtId="0" fontId="21" fillId="10" borderId="1" xfId="0" applyFont="1" applyFill="1" applyBorder="1" applyProtection="1">
      <protection hidden="1"/>
    </xf>
    <xf numFmtId="9" fontId="21" fillId="0" borderId="0" xfId="9" applyFont="1" applyFill="1" applyProtection="1">
      <protection hidden="1"/>
    </xf>
    <xf numFmtId="174" fontId="21" fillId="0" borderId="0" xfId="9" applyNumberFormat="1" applyFont="1" applyFill="1" applyProtection="1">
      <protection hidden="1"/>
    </xf>
    <xf numFmtId="9" fontId="21" fillId="0" borderId="0" xfId="9" applyFont="1" applyFill="1" applyBorder="1" applyProtection="1">
      <protection hidden="1"/>
    </xf>
    <xf numFmtId="0" fontId="38" fillId="0" borderId="0" xfId="0" applyFont="1" applyAlignment="1" applyProtection="1">
      <alignment horizontal="left"/>
      <protection hidden="1"/>
    </xf>
    <xf numFmtId="0" fontId="20" fillId="0" borderId="14" xfId="0" applyFont="1" applyBorder="1" applyAlignment="1" applyProtection="1">
      <alignment horizontal="center"/>
      <protection hidden="1"/>
    </xf>
    <xf numFmtId="0" fontId="20" fillId="0" borderId="15" xfId="0" applyFont="1" applyBorder="1" applyAlignment="1" applyProtection="1">
      <alignment horizontal="center"/>
      <protection hidden="1"/>
    </xf>
    <xf numFmtId="0" fontId="20" fillId="0" borderId="16" xfId="0" applyFont="1" applyBorder="1" applyAlignment="1" applyProtection="1">
      <alignment horizontal="center"/>
      <protection hidden="1"/>
    </xf>
    <xf numFmtId="0" fontId="20" fillId="6" borderId="4" xfId="0" applyFont="1" applyFill="1" applyBorder="1" applyAlignment="1" applyProtection="1">
      <alignment horizontal="center"/>
      <protection hidden="1"/>
    </xf>
    <xf numFmtId="0" fontId="20" fillId="6" borderId="5" xfId="0" applyFont="1" applyFill="1" applyBorder="1" applyAlignment="1" applyProtection="1">
      <alignment horizontal="center"/>
      <protection hidden="1"/>
    </xf>
    <xf numFmtId="44" fontId="21" fillId="0" borderId="0" xfId="1" applyFont="1" applyFill="1" applyAlignment="1" applyProtection="1">
      <protection hidden="1"/>
    </xf>
    <xf numFmtId="44" fontId="14" fillId="0" borderId="0" xfId="1" applyFont="1" applyFill="1" applyAlignment="1" applyProtection="1">
      <protection hidden="1"/>
    </xf>
    <xf numFmtId="44" fontId="12" fillId="0" borderId="0" xfId="1" applyFont="1" applyFill="1" applyAlignment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left" wrapText="1"/>
      <protection hidden="1"/>
    </xf>
    <xf numFmtId="0" fontId="20" fillId="0" borderId="3" xfId="0" applyFont="1" applyBorder="1" applyAlignment="1" applyProtection="1">
      <alignment horizontal="center"/>
      <protection hidden="1"/>
    </xf>
    <xf numFmtId="0" fontId="20" fillId="0" borderId="25" xfId="0" applyFont="1" applyBorder="1" applyAlignment="1" applyProtection="1">
      <alignment horizontal="left"/>
      <protection hidden="1"/>
    </xf>
    <xf numFmtId="0" fontId="21" fillId="0" borderId="3" xfId="0" applyFont="1" applyBorder="1" applyAlignment="1" applyProtection="1">
      <alignment horizontal="center"/>
      <protection hidden="1"/>
    </xf>
    <xf numFmtId="0" fontId="20" fillId="0" borderId="2" xfId="0" applyFont="1" applyBorder="1" applyAlignment="1" applyProtection="1">
      <alignment horizontal="center"/>
      <protection hidden="1"/>
    </xf>
    <xf numFmtId="0" fontId="20" fillId="0" borderId="10" xfId="0" applyFont="1" applyBorder="1" applyAlignment="1" applyProtection="1">
      <alignment horizontal="center"/>
      <protection hidden="1"/>
    </xf>
    <xf numFmtId="0" fontId="20" fillId="0" borderId="11" xfId="0" applyFont="1" applyBorder="1" applyAlignment="1" applyProtection="1">
      <alignment horizontal="center"/>
      <protection hidden="1"/>
    </xf>
    <xf numFmtId="0" fontId="20" fillId="0" borderId="1" xfId="0" applyFont="1" applyBorder="1" applyAlignment="1" applyProtection="1">
      <alignment horizontal="center"/>
      <protection hidden="1"/>
    </xf>
    <xf numFmtId="0" fontId="20" fillId="0" borderId="0" xfId="0" applyFont="1" applyAlignment="1" applyProtection="1">
      <alignment horizontal="left"/>
      <protection hidden="1"/>
    </xf>
    <xf numFmtId="0" fontId="20" fillId="8" borderId="1" xfId="0" applyFont="1" applyFill="1" applyBorder="1" applyAlignment="1" applyProtection="1">
      <alignment horizontal="center"/>
      <protection hidden="1"/>
    </xf>
    <xf numFmtId="0" fontId="20" fillId="9" borderId="2" xfId="0" applyFont="1" applyFill="1" applyBorder="1" applyAlignment="1" applyProtection="1">
      <alignment horizontal="center"/>
      <protection hidden="1"/>
    </xf>
    <xf numFmtId="0" fontId="20" fillId="9" borderId="11" xfId="0" applyFont="1" applyFill="1" applyBorder="1" applyAlignment="1" applyProtection="1">
      <alignment horizontal="center"/>
      <protection hidden="1"/>
    </xf>
    <xf numFmtId="44" fontId="21" fillId="0" borderId="1" xfId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</cellXfs>
  <cellStyles count="10">
    <cellStyle name="Comma" xfId="7" builtinId="3"/>
    <cellStyle name="Currency" xfId="1" builtinId="4"/>
    <cellStyle name="Currency 2" xfId="2" xr:uid="{00000000-0005-0000-0000-000001000000}"/>
    <cellStyle name="Currency 3" xfId="6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6EAF16E8-37B0-43B5-B352-640A877747EE}"/>
    <cellStyle name="Percent" xfId="9" builtinId="5"/>
  </cellStyles>
  <dxfs count="2">
    <dxf>
      <fill>
        <patternFill patternType="solid">
          <bgColor theme="6"/>
        </patternFill>
      </fill>
    </dxf>
    <dxf>
      <fill>
        <patternFill patternType="solid">
          <bgColor rgb="FFFFC000"/>
        </patternFill>
      </fill>
    </dxf>
  </dxfs>
  <tableStyles count="1" defaultTableStyle="TableStyleMedium2" defaultPivotStyle="PivotStyleLight16">
    <tableStyle name="Invisible" pivot="0" table="0" count="0" xr9:uid="{BCDA5235-C189-474B-8101-629E6FF4FD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lmspk0\AppData\Local\Microsoft\Windows\Temporary%20Internet%20Files\Content.Outlook\YNR9Y8DJ\2007%20Salary%20Schedule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%20Compensation/Job%20Code%20Table/Job%20Code%20Table%2012-17-2024.xlsx" TargetMode="External"/><Relationship Id="rId2" Type="http://schemas.openxmlformats.org/officeDocument/2006/relationships/externalLinkPath" Target="file:///M:\Human%20Resources\LABOR\0%20Compensation\Job%20Code%20Table\Job%20Code%20Table%2012-17-2024.xlsx" TargetMode="External"/><Relationship Id="rId1" Type="http://schemas.openxmlformats.org/officeDocument/2006/relationships/externalLinkPath" Target="/Human%20Resources/LABOR/0%20Compensation/Job%20Code%20Table/Job%20Code%20Table%2012-17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15 2006"/>
      <sheetName val="January 1, 2007"/>
      <sheetName val="Sept 9, 2007"/>
    </sheetNames>
    <sheetDataSet>
      <sheetData sheetId="0"/>
      <sheetData sheetId="1">
        <row r="6">
          <cell r="H6">
            <v>1594</v>
          </cell>
          <cell r="I6">
            <v>1704</v>
          </cell>
          <cell r="J6">
            <v>1823</v>
          </cell>
          <cell r="K6">
            <v>1950</v>
          </cell>
          <cell r="L6">
            <v>2085</v>
          </cell>
          <cell r="M6">
            <v>2213.5174053999999</v>
          </cell>
        </row>
        <row r="7">
          <cell r="H7">
            <v>1594</v>
          </cell>
          <cell r="I7">
            <v>1704</v>
          </cell>
          <cell r="J7">
            <v>1823</v>
          </cell>
          <cell r="K7">
            <v>1950</v>
          </cell>
          <cell r="L7">
            <v>2085</v>
          </cell>
          <cell r="M7">
            <v>2213.5174053999999</v>
          </cell>
        </row>
        <row r="8">
          <cell r="H8">
            <v>1594</v>
          </cell>
          <cell r="I8">
            <v>1704</v>
          </cell>
          <cell r="J8">
            <v>1823</v>
          </cell>
          <cell r="K8">
            <v>1950</v>
          </cell>
          <cell r="L8">
            <v>2085</v>
          </cell>
          <cell r="M8">
            <v>2213.5174053999999</v>
          </cell>
        </row>
        <row r="9">
          <cell r="H9">
            <v>2256</v>
          </cell>
          <cell r="I9">
            <v>2346</v>
          </cell>
          <cell r="J9">
            <v>2490.7185222499998</v>
          </cell>
        </row>
        <row r="10">
          <cell r="H10">
            <v>2256</v>
          </cell>
          <cell r="I10">
            <v>2346</v>
          </cell>
          <cell r="J10">
            <v>2490.7185222499998</v>
          </cell>
        </row>
        <row r="11">
          <cell r="H11">
            <v>2256</v>
          </cell>
          <cell r="I11">
            <v>2346</v>
          </cell>
          <cell r="J11">
            <v>2490.7185222499998</v>
          </cell>
        </row>
        <row r="12">
          <cell r="H12">
            <v>2562</v>
          </cell>
          <cell r="I12">
            <v>2665</v>
          </cell>
          <cell r="J12">
            <v>2830.3154624499998</v>
          </cell>
        </row>
        <row r="13">
          <cell r="H13">
            <v>2562</v>
          </cell>
          <cell r="I13">
            <v>2665</v>
          </cell>
          <cell r="J13">
            <v>2830.3154624499998</v>
          </cell>
        </row>
        <row r="14">
          <cell r="H14">
            <v>2562</v>
          </cell>
          <cell r="I14">
            <v>2665</v>
          </cell>
          <cell r="J14">
            <v>2830.3154624499998</v>
          </cell>
        </row>
        <row r="15">
          <cell r="H15">
            <v>2562</v>
          </cell>
          <cell r="I15">
            <v>2665</v>
          </cell>
          <cell r="J15">
            <v>2830.3154624499998</v>
          </cell>
        </row>
        <row r="16">
          <cell r="H16">
            <v>2562</v>
          </cell>
          <cell r="I16">
            <v>2665</v>
          </cell>
          <cell r="J16">
            <v>2830.3154624499998</v>
          </cell>
        </row>
        <row r="17">
          <cell r="H17">
            <v>2579</v>
          </cell>
          <cell r="I17">
            <v>2623</v>
          </cell>
          <cell r="J17">
            <v>2668</v>
          </cell>
          <cell r="K17">
            <v>2714</v>
          </cell>
          <cell r="L17">
            <v>2760</v>
          </cell>
          <cell r="M17">
            <v>2930.5579327499995</v>
          </cell>
        </row>
        <row r="18">
          <cell r="H18">
            <v>2579</v>
          </cell>
          <cell r="I18">
            <v>2623</v>
          </cell>
          <cell r="J18">
            <v>2668</v>
          </cell>
          <cell r="K18">
            <v>2714</v>
          </cell>
          <cell r="L18">
            <v>2760</v>
          </cell>
          <cell r="M18">
            <v>2930.5579327499995</v>
          </cell>
        </row>
        <row r="21">
          <cell r="C21">
            <v>0.72624646849999996</v>
          </cell>
        </row>
        <row r="22">
          <cell r="C22">
            <v>0.31709352849999994</v>
          </cell>
        </row>
        <row r="34">
          <cell r="A34">
            <v>12.520079963999999</v>
          </cell>
        </row>
        <row r="35">
          <cell r="A35">
            <v>17.757237596</v>
          </cell>
        </row>
        <row r="36">
          <cell r="A36">
            <v>22.994395227999998</v>
          </cell>
        </row>
        <row r="37">
          <cell r="A37">
            <v>28.231552859999997</v>
          </cell>
        </row>
        <row r="38">
          <cell r="A38">
            <v>33.468710492</v>
          </cell>
        </row>
        <row r="39">
          <cell r="A39">
            <v>101.15283559149999</v>
          </cell>
        </row>
        <row r="40">
          <cell r="A40">
            <v>106.8400614575</v>
          </cell>
        </row>
        <row r="41">
          <cell r="A41">
            <v>112.5170585</v>
          </cell>
        </row>
        <row r="42">
          <cell r="A42">
            <v>147.17231251799998</v>
          </cell>
        </row>
        <row r="43">
          <cell r="A43">
            <v>152.84930956049999</v>
          </cell>
        </row>
        <row r="44">
          <cell r="A44">
            <v>158.5365354265</v>
          </cell>
        </row>
        <row r="45">
          <cell r="A45">
            <v>164.2237612925</v>
          </cell>
        </row>
        <row r="46">
          <cell r="A46">
            <v>180.34438712849999</v>
          </cell>
        </row>
        <row r="47">
          <cell r="A47">
            <v>226.57866934849997</v>
          </cell>
        </row>
        <row r="48">
          <cell r="A48">
            <v>232.26589521449998</v>
          </cell>
        </row>
        <row r="49">
          <cell r="A49">
            <v>237.95312108049998</v>
          </cell>
        </row>
        <row r="50">
          <cell r="A50">
            <v>243.64034694649999</v>
          </cell>
        </row>
        <row r="51">
          <cell r="A51">
            <v>249.32757281249999</v>
          </cell>
        </row>
        <row r="52">
          <cell r="A52">
            <v>272.3833409815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2"/>
      <sheetName val="Sheet3"/>
      <sheetName val="sheet1"/>
    </sheetNames>
    <sheetDataSet>
      <sheetData sheetId="0"/>
      <sheetData sheetId="1">
        <row r="1">
          <cell r="A1" t="str">
            <v>Job Code</v>
          </cell>
          <cell r="B1" t="str">
            <v>Job Title</v>
          </cell>
          <cell r="C1" t="str">
            <v>Sal Plan</v>
          </cell>
          <cell r="D1" t="str">
            <v>Sal Grade</v>
          </cell>
          <cell r="E1" t="str">
            <v>Sal Grd Txt</v>
          </cell>
          <cell r="F1">
            <v>1</v>
          </cell>
          <cell r="G1">
            <v>2</v>
          </cell>
          <cell r="H1">
            <v>3</v>
          </cell>
          <cell r="I1">
            <v>4</v>
          </cell>
          <cell r="J1">
            <v>5</v>
          </cell>
        </row>
        <row r="2">
          <cell r="A2" t="str">
            <v>02845C</v>
          </cell>
          <cell r="B2" t="str">
            <v>311 Customer Service Agnt I-C</v>
          </cell>
          <cell r="C2" t="str">
            <v>CAF</v>
          </cell>
          <cell r="D2" t="str">
            <v>141</v>
          </cell>
          <cell r="F2">
            <v>29.445</v>
          </cell>
          <cell r="G2">
            <v>30.919</v>
          </cell>
          <cell r="H2">
            <v>32.463999999999999</v>
          </cell>
          <cell r="I2">
            <v>34.087000000000003</v>
          </cell>
          <cell r="J2">
            <v>35.790999999999997</v>
          </cell>
        </row>
        <row r="3">
          <cell r="A3" t="str">
            <v>02846C</v>
          </cell>
          <cell r="B3" t="str">
            <v>311 Customer Service Agnt II-C</v>
          </cell>
          <cell r="C3" t="str">
            <v>CAF</v>
          </cell>
          <cell r="D3" t="str">
            <v>064</v>
          </cell>
          <cell r="F3">
            <v>30.58</v>
          </cell>
          <cell r="G3">
            <v>32.109000000000002</v>
          </cell>
          <cell r="H3">
            <v>33.715000000000003</v>
          </cell>
          <cell r="I3">
            <v>35.402000000000001</v>
          </cell>
          <cell r="J3">
            <v>37.170999999999999</v>
          </cell>
        </row>
        <row r="4">
          <cell r="A4" t="str">
            <v>50905C</v>
          </cell>
          <cell r="B4" t="str">
            <v>911 QA Technician</v>
          </cell>
          <cell r="C4" t="str">
            <v>CAF</v>
          </cell>
          <cell r="D4" t="str">
            <v>N51</v>
          </cell>
          <cell r="F4">
            <v>23.835999999999999</v>
          </cell>
          <cell r="G4">
            <v>25.026</v>
          </cell>
          <cell r="H4">
            <v>26.279</v>
          </cell>
          <cell r="I4">
            <v>27.593</v>
          </cell>
          <cell r="J4">
            <v>28.974</v>
          </cell>
        </row>
        <row r="5">
          <cell r="A5" t="str">
            <v>00030C</v>
          </cell>
          <cell r="B5" t="str">
            <v>Account Clerk I -C</v>
          </cell>
          <cell r="C5" t="str">
            <v>CAF</v>
          </cell>
          <cell r="D5" t="str">
            <v>018</v>
          </cell>
          <cell r="F5">
            <v>20.466000000000001</v>
          </cell>
          <cell r="G5">
            <v>21.491</v>
          </cell>
          <cell r="H5">
            <v>22.564</v>
          </cell>
          <cell r="I5">
            <v>23.692</v>
          </cell>
          <cell r="J5">
            <v>24.876000000000001</v>
          </cell>
        </row>
        <row r="6">
          <cell r="A6" t="str">
            <v>00070C</v>
          </cell>
          <cell r="B6" t="str">
            <v>Account Clerk II -C</v>
          </cell>
          <cell r="C6" t="str">
            <v>CAF</v>
          </cell>
          <cell r="D6" t="str">
            <v>056</v>
          </cell>
          <cell r="F6">
            <v>26.105</v>
          </cell>
          <cell r="G6">
            <v>27.413</v>
          </cell>
          <cell r="H6">
            <v>28.780999999999999</v>
          </cell>
          <cell r="I6">
            <v>30.221</v>
          </cell>
          <cell r="J6">
            <v>31.731999999999999</v>
          </cell>
        </row>
        <row r="7">
          <cell r="A7" t="str">
            <v>00170C</v>
          </cell>
          <cell r="B7" t="str">
            <v>Account Maintenance Rep-C</v>
          </cell>
          <cell r="C7" t="str">
            <v>CAF</v>
          </cell>
          <cell r="D7" t="str">
            <v>130</v>
          </cell>
          <cell r="F7">
            <v>26.105</v>
          </cell>
          <cell r="G7">
            <v>27.413</v>
          </cell>
          <cell r="H7">
            <v>28.780999999999999</v>
          </cell>
          <cell r="I7">
            <v>30.221</v>
          </cell>
          <cell r="J7">
            <v>31.731999999999999</v>
          </cell>
        </row>
        <row r="8">
          <cell r="A8" t="str">
            <v>00076C</v>
          </cell>
          <cell r="B8" t="str">
            <v>Accounting Technician - C</v>
          </cell>
          <cell r="C8" t="str">
            <v>CAF</v>
          </cell>
          <cell r="D8" t="str">
            <v>161</v>
          </cell>
          <cell r="F8">
            <v>28.324000000000002</v>
          </cell>
          <cell r="G8">
            <v>29.738</v>
          </cell>
          <cell r="H8">
            <v>31.225000000000001</v>
          </cell>
          <cell r="I8">
            <v>32.786999999999999</v>
          </cell>
          <cell r="J8">
            <v>34.424999999999997</v>
          </cell>
        </row>
        <row r="9">
          <cell r="A9" t="str">
            <v>53045C</v>
          </cell>
          <cell r="B9" t="str">
            <v>Admin Asst Electns &amp; Vtr Svc-C</v>
          </cell>
          <cell r="C9" t="str">
            <v>CAF</v>
          </cell>
          <cell r="D9" t="str">
            <v>084</v>
          </cell>
          <cell r="F9">
            <v>30.58</v>
          </cell>
          <cell r="G9">
            <v>32.109000000000002</v>
          </cell>
          <cell r="H9">
            <v>33.715000000000003</v>
          </cell>
          <cell r="I9">
            <v>35.402000000000001</v>
          </cell>
          <cell r="J9">
            <v>37.171999999999997</v>
          </cell>
        </row>
        <row r="10">
          <cell r="A10" t="str">
            <v>00476C</v>
          </cell>
          <cell r="B10" t="str">
            <v>Animal Care Technician II-C</v>
          </cell>
          <cell r="C10" t="str">
            <v>CAF</v>
          </cell>
          <cell r="D10" t="str">
            <v>001</v>
          </cell>
          <cell r="F10">
            <v>24.96</v>
          </cell>
          <cell r="G10">
            <v>26.207000000000001</v>
          </cell>
          <cell r="H10">
            <v>27.518000000000001</v>
          </cell>
          <cell r="I10">
            <v>28.895</v>
          </cell>
          <cell r="J10">
            <v>30.338999999999999</v>
          </cell>
        </row>
        <row r="11">
          <cell r="A11" t="str">
            <v>00475C</v>
          </cell>
          <cell r="B11" t="str">
            <v>Animal Care Technician-C</v>
          </cell>
          <cell r="C11" t="str">
            <v>CAF</v>
          </cell>
          <cell r="D11" t="str">
            <v>151</v>
          </cell>
          <cell r="F11">
            <v>22.706</v>
          </cell>
          <cell r="G11">
            <v>23.841000000000001</v>
          </cell>
          <cell r="H11">
            <v>25.033000000000001</v>
          </cell>
          <cell r="I11">
            <v>26.283999999999999</v>
          </cell>
          <cell r="J11">
            <v>27.599</v>
          </cell>
        </row>
        <row r="12">
          <cell r="A12" t="str">
            <v>03587C</v>
          </cell>
          <cell r="B12" t="str">
            <v>Animal Control Officer, Lead-C</v>
          </cell>
          <cell r="C12" t="str">
            <v>CAF</v>
          </cell>
          <cell r="D12" t="str">
            <v>123</v>
          </cell>
          <cell r="F12">
            <v>33.938000000000002</v>
          </cell>
          <cell r="G12">
            <v>35.633000000000003</v>
          </cell>
          <cell r="H12">
            <v>37.415999999999997</v>
          </cell>
          <cell r="I12">
            <v>39.283999999999999</v>
          </cell>
          <cell r="J12">
            <v>41.249000000000002</v>
          </cell>
        </row>
        <row r="13">
          <cell r="A13" t="str">
            <v>00480C</v>
          </cell>
          <cell r="B13" t="str">
            <v>Animal Control Officer-C</v>
          </cell>
          <cell r="C13" t="str">
            <v>CAF</v>
          </cell>
          <cell r="D13" t="str">
            <v>064</v>
          </cell>
          <cell r="F13">
            <v>30.58</v>
          </cell>
          <cell r="G13">
            <v>32.109000000000002</v>
          </cell>
          <cell r="H13">
            <v>33.715000000000003</v>
          </cell>
          <cell r="I13">
            <v>35.402000000000001</v>
          </cell>
          <cell r="J13">
            <v>37.170999999999999</v>
          </cell>
        </row>
        <row r="14">
          <cell r="A14" t="str">
            <v>59231C</v>
          </cell>
          <cell r="B14" t="str">
            <v>Assessing Technician</v>
          </cell>
          <cell r="C14" t="str">
            <v>CAF</v>
          </cell>
          <cell r="D14" t="str">
            <v>088</v>
          </cell>
          <cell r="F14">
            <v>31.673999999999999</v>
          </cell>
          <cell r="G14">
            <v>33.259</v>
          </cell>
          <cell r="H14">
            <v>34.920999999999999</v>
          </cell>
          <cell r="I14">
            <v>36.667000000000002</v>
          </cell>
          <cell r="J14">
            <v>38.502000000000002</v>
          </cell>
        </row>
        <row r="15">
          <cell r="A15" t="str">
            <v>00520C</v>
          </cell>
          <cell r="B15" t="str">
            <v>Assessor I-C</v>
          </cell>
          <cell r="C15" t="str">
            <v>CAF</v>
          </cell>
          <cell r="D15" t="str">
            <v>134</v>
          </cell>
          <cell r="F15">
            <v>42.002000000000002</v>
          </cell>
          <cell r="G15">
            <v>44.101999999999997</v>
          </cell>
          <cell r="H15">
            <v>46.307000000000002</v>
          </cell>
          <cell r="I15">
            <v>48.622</v>
          </cell>
          <cell r="J15">
            <v>51.052999999999997</v>
          </cell>
        </row>
        <row r="16">
          <cell r="A16" t="str">
            <v>00530C</v>
          </cell>
          <cell r="B16" t="str">
            <v>Assessor II-C</v>
          </cell>
          <cell r="C16" t="str">
            <v>CAF</v>
          </cell>
          <cell r="D16" t="str">
            <v>146</v>
          </cell>
          <cell r="F16">
            <v>42.936</v>
          </cell>
          <cell r="G16">
            <v>45.084000000000003</v>
          </cell>
          <cell r="H16">
            <v>47.337000000000003</v>
          </cell>
          <cell r="I16">
            <v>49.704000000000001</v>
          </cell>
          <cell r="J16">
            <v>52.192999999999998</v>
          </cell>
        </row>
        <row r="17">
          <cell r="A17" t="str">
            <v>52170C</v>
          </cell>
          <cell r="B17" t="str">
            <v>Associate Buyer-C</v>
          </cell>
          <cell r="C17" t="str">
            <v>CAF</v>
          </cell>
          <cell r="D17" t="str">
            <v>064</v>
          </cell>
          <cell r="F17">
            <v>30.58</v>
          </cell>
          <cell r="G17">
            <v>32.109000000000002</v>
          </cell>
          <cell r="H17">
            <v>33.715000000000003</v>
          </cell>
          <cell r="I17">
            <v>35.402000000000001</v>
          </cell>
          <cell r="J17">
            <v>37.170999999999999</v>
          </cell>
        </row>
        <row r="18">
          <cell r="A18" t="str">
            <v>01265C</v>
          </cell>
          <cell r="B18" t="str">
            <v>Bilingual Crime Prevent Spec-C</v>
          </cell>
          <cell r="C18" t="str">
            <v>CAF</v>
          </cell>
          <cell r="D18" t="str">
            <v>105</v>
          </cell>
          <cell r="F18">
            <v>31.673999999999999</v>
          </cell>
          <cell r="G18">
            <v>33.259</v>
          </cell>
          <cell r="H18">
            <v>34.920999999999999</v>
          </cell>
          <cell r="I18">
            <v>36.667000000000002</v>
          </cell>
          <cell r="J18">
            <v>38.502000000000002</v>
          </cell>
        </row>
        <row r="19">
          <cell r="A19" t="str">
            <v>01290C</v>
          </cell>
          <cell r="B19" t="str">
            <v>Bilingual Program Aide-C</v>
          </cell>
          <cell r="C19" t="str">
            <v>CAF</v>
          </cell>
          <cell r="D19" t="str">
            <v>107</v>
          </cell>
          <cell r="F19">
            <v>27.216999999999999</v>
          </cell>
          <cell r="G19">
            <v>28.579000000000001</v>
          </cell>
          <cell r="H19">
            <v>30.006</v>
          </cell>
          <cell r="I19">
            <v>31.509</v>
          </cell>
          <cell r="J19">
            <v>33.082999999999998</v>
          </cell>
        </row>
        <row r="20">
          <cell r="A20" t="str">
            <v>01447C</v>
          </cell>
          <cell r="B20" t="str">
            <v>Building Services Spec I - C</v>
          </cell>
          <cell r="C20" t="str">
            <v>CAF</v>
          </cell>
          <cell r="D20" t="str">
            <v>151</v>
          </cell>
          <cell r="F20">
            <v>22.706</v>
          </cell>
          <cell r="G20">
            <v>23.841000000000001</v>
          </cell>
          <cell r="H20">
            <v>25.033000000000001</v>
          </cell>
          <cell r="I20">
            <v>26.283999999999999</v>
          </cell>
          <cell r="J20">
            <v>27.599</v>
          </cell>
        </row>
        <row r="21">
          <cell r="A21" t="str">
            <v>01448C</v>
          </cell>
          <cell r="B21" t="str">
            <v>Building Services Spec II-C</v>
          </cell>
          <cell r="C21" t="str">
            <v>CAF</v>
          </cell>
          <cell r="D21" t="str">
            <v>060</v>
          </cell>
          <cell r="F21">
            <v>26.105</v>
          </cell>
          <cell r="G21">
            <v>27.413</v>
          </cell>
          <cell r="H21">
            <v>28.780999999999999</v>
          </cell>
          <cell r="I21">
            <v>30.221</v>
          </cell>
          <cell r="J21">
            <v>31.731999999999999</v>
          </cell>
        </row>
        <row r="22">
          <cell r="A22" t="str">
            <v>01458C</v>
          </cell>
          <cell r="B22" t="str">
            <v>Buyer-C</v>
          </cell>
          <cell r="C22" t="str">
            <v>CAF</v>
          </cell>
          <cell r="D22" t="str">
            <v>129</v>
          </cell>
          <cell r="F22">
            <v>38.808999999999997</v>
          </cell>
          <cell r="G22">
            <v>40.75</v>
          </cell>
          <cell r="H22">
            <v>42.786999999999999</v>
          </cell>
          <cell r="I22">
            <v>44.927</v>
          </cell>
          <cell r="J22">
            <v>47.173000000000002</v>
          </cell>
        </row>
        <row r="23">
          <cell r="A23" t="str">
            <v>53072C</v>
          </cell>
          <cell r="B23" t="str">
            <v>Case Investigator-C</v>
          </cell>
          <cell r="C23" t="str">
            <v>CAF</v>
          </cell>
          <cell r="D23" t="str">
            <v>097</v>
          </cell>
          <cell r="F23">
            <v>35.409999999999997</v>
          </cell>
          <cell r="G23">
            <v>37.18</v>
          </cell>
          <cell r="H23">
            <v>39.039000000000001</v>
          </cell>
          <cell r="I23">
            <v>40.991</v>
          </cell>
          <cell r="J23">
            <v>43.04</v>
          </cell>
        </row>
        <row r="24">
          <cell r="A24" t="str">
            <v>01610C</v>
          </cell>
          <cell r="B24" t="str">
            <v>Central Alarm Station Oper-C</v>
          </cell>
          <cell r="C24" t="str">
            <v>CAF</v>
          </cell>
          <cell r="D24" t="str">
            <v>111</v>
          </cell>
          <cell r="F24">
            <v>23.835999999999999</v>
          </cell>
          <cell r="G24">
            <v>25.027000000000001</v>
          </cell>
          <cell r="H24">
            <v>26.279</v>
          </cell>
          <cell r="I24">
            <v>27.593</v>
          </cell>
          <cell r="J24">
            <v>28.972999999999999</v>
          </cell>
        </row>
        <row r="25">
          <cell r="A25" t="str">
            <v>11020C</v>
          </cell>
          <cell r="B25" t="str">
            <v>Claims Specialist-C</v>
          </cell>
          <cell r="C25" t="str">
            <v>CAF</v>
          </cell>
          <cell r="D25" t="str">
            <v>063</v>
          </cell>
          <cell r="F25">
            <v>27.216999999999999</v>
          </cell>
          <cell r="G25">
            <v>28.579000000000001</v>
          </cell>
          <cell r="H25">
            <v>30.006</v>
          </cell>
          <cell r="I25">
            <v>31.509</v>
          </cell>
          <cell r="J25">
            <v>33.082999999999998</v>
          </cell>
        </row>
        <row r="26">
          <cell r="A26" t="str">
            <v>02236C</v>
          </cell>
          <cell r="B26" t="str">
            <v>Code Compl Spec (Traffic)-C</v>
          </cell>
          <cell r="C26" t="str">
            <v>CAF</v>
          </cell>
          <cell r="D26" t="str">
            <v>140</v>
          </cell>
          <cell r="F26">
            <v>29.445</v>
          </cell>
          <cell r="G26">
            <v>30.919</v>
          </cell>
          <cell r="H26">
            <v>32.463999999999999</v>
          </cell>
          <cell r="I26">
            <v>34.088000000000001</v>
          </cell>
          <cell r="J26">
            <v>35.790999999999997</v>
          </cell>
        </row>
        <row r="27">
          <cell r="A27" t="str">
            <v>02260C</v>
          </cell>
          <cell r="B27" t="str">
            <v>Committee Clerk-C</v>
          </cell>
          <cell r="C27" t="str">
            <v>CAF</v>
          </cell>
          <cell r="D27" t="str">
            <v>143</v>
          </cell>
          <cell r="F27">
            <v>29.445</v>
          </cell>
          <cell r="G27">
            <v>30.919</v>
          </cell>
          <cell r="H27">
            <v>32.463999999999999</v>
          </cell>
          <cell r="I27">
            <v>34.088000000000001</v>
          </cell>
          <cell r="J27">
            <v>35.790999999999997</v>
          </cell>
        </row>
        <row r="28">
          <cell r="A28" t="str">
            <v>53022C</v>
          </cell>
          <cell r="B28" t="str">
            <v>Community Partnership Liaisn-C</v>
          </cell>
          <cell r="C28" t="str">
            <v>CAF</v>
          </cell>
          <cell r="D28" t="str">
            <v>126</v>
          </cell>
          <cell r="F28">
            <v>32.829000000000001</v>
          </cell>
          <cell r="G28">
            <v>34.468000000000004</v>
          </cell>
          <cell r="H28">
            <v>36.191000000000003</v>
          </cell>
          <cell r="I28">
            <v>38.002000000000002</v>
          </cell>
          <cell r="J28">
            <v>39.902000000000001</v>
          </cell>
        </row>
        <row r="29">
          <cell r="A29" t="str">
            <v>59409C</v>
          </cell>
          <cell r="B29" t="str">
            <v>Community Pet Case Coord - C</v>
          </cell>
          <cell r="C29" t="str">
            <v>CAF</v>
          </cell>
          <cell r="D29" t="str">
            <v>154</v>
          </cell>
          <cell r="F29">
            <v>32.834000000000003</v>
          </cell>
          <cell r="G29">
            <v>34.469000000000001</v>
          </cell>
          <cell r="H29">
            <v>36.195</v>
          </cell>
          <cell r="I29">
            <v>38</v>
          </cell>
          <cell r="J29">
            <v>39.904000000000003</v>
          </cell>
        </row>
        <row r="30">
          <cell r="A30" t="str">
            <v>02350C</v>
          </cell>
          <cell r="B30" t="str">
            <v>Community Service Officer-C</v>
          </cell>
          <cell r="C30" t="str">
            <v>CAF</v>
          </cell>
          <cell r="D30" t="str">
            <v>030</v>
          </cell>
          <cell r="F30">
            <v>22.454999999999998</v>
          </cell>
          <cell r="G30">
            <v>23.577999999999999</v>
          </cell>
          <cell r="H30">
            <v>24.754000000000001</v>
          </cell>
          <cell r="I30">
            <v>25.991</v>
          </cell>
        </row>
        <row r="31">
          <cell r="A31" t="str">
            <v>05955C</v>
          </cell>
          <cell r="B31" t="str">
            <v>Complaint Invest Officer  II-C</v>
          </cell>
          <cell r="C31" t="str">
            <v>CAF</v>
          </cell>
          <cell r="D31" t="str">
            <v>95</v>
          </cell>
          <cell r="F31">
            <v>37.792000000000002</v>
          </cell>
          <cell r="G31">
            <v>39.682000000000002</v>
          </cell>
          <cell r="H31">
            <v>41.665999999999997</v>
          </cell>
          <cell r="I31">
            <v>43.749000000000002</v>
          </cell>
          <cell r="J31">
            <v>45.936999999999998</v>
          </cell>
        </row>
        <row r="32">
          <cell r="A32" t="str">
            <v>02355C</v>
          </cell>
          <cell r="B32" t="str">
            <v>Complaint Investigatn Officr-C</v>
          </cell>
          <cell r="C32" t="str">
            <v>CAF</v>
          </cell>
          <cell r="D32" t="str">
            <v>208</v>
          </cell>
          <cell r="F32">
            <v>36.130000000000003</v>
          </cell>
          <cell r="G32">
            <v>37.936999999999998</v>
          </cell>
          <cell r="H32">
            <v>39.835000000000001</v>
          </cell>
          <cell r="I32">
            <v>41.828000000000003</v>
          </cell>
          <cell r="J32">
            <v>43.918999999999997</v>
          </cell>
        </row>
        <row r="33">
          <cell r="A33" t="str">
            <v>02440C</v>
          </cell>
          <cell r="B33" t="str">
            <v>Concierge Convention Center-C</v>
          </cell>
          <cell r="C33" t="str">
            <v>CAF</v>
          </cell>
          <cell r="D33" t="str">
            <v>033</v>
          </cell>
          <cell r="F33">
            <v>22.706</v>
          </cell>
          <cell r="G33">
            <v>23.841000000000001</v>
          </cell>
          <cell r="H33">
            <v>25.033000000000001</v>
          </cell>
          <cell r="I33">
            <v>26.283999999999999</v>
          </cell>
          <cell r="J33">
            <v>27.599</v>
          </cell>
        </row>
        <row r="34">
          <cell r="A34" t="str">
            <v>02627C</v>
          </cell>
          <cell r="B34" t="str">
            <v>Contract Compliance Officer-C</v>
          </cell>
          <cell r="C34" t="str">
            <v>CAF</v>
          </cell>
          <cell r="D34" t="str">
            <v>208</v>
          </cell>
          <cell r="F34">
            <v>36.130000000000003</v>
          </cell>
          <cell r="G34">
            <v>37.936999999999998</v>
          </cell>
          <cell r="H34">
            <v>39.835000000000001</v>
          </cell>
          <cell r="I34">
            <v>41.828000000000003</v>
          </cell>
          <cell r="J34">
            <v>43.918999999999997</v>
          </cell>
        </row>
        <row r="35">
          <cell r="A35" t="str">
            <v>04950C</v>
          </cell>
          <cell r="B35" t="str">
            <v>Coord Water Pumping Stations</v>
          </cell>
          <cell r="C35" t="str">
            <v>CAF</v>
          </cell>
          <cell r="D35" t="str">
            <v>099</v>
          </cell>
          <cell r="F35">
            <v>34.450000000000003</v>
          </cell>
          <cell r="G35">
            <v>36.173000000000002</v>
          </cell>
          <cell r="H35">
            <v>37.981000000000002</v>
          </cell>
          <cell r="I35">
            <v>39.880000000000003</v>
          </cell>
          <cell r="J35">
            <v>41.875999999999998</v>
          </cell>
        </row>
        <row r="36">
          <cell r="A36" t="str">
            <v>02740C</v>
          </cell>
          <cell r="B36" t="str">
            <v>Council Information Spec - C</v>
          </cell>
          <cell r="C36" t="str">
            <v>CAF</v>
          </cell>
          <cell r="D36" t="str">
            <v>076</v>
          </cell>
          <cell r="F36">
            <v>27.216999999999999</v>
          </cell>
          <cell r="G36">
            <v>28.579000000000001</v>
          </cell>
          <cell r="H36">
            <v>30.006</v>
          </cell>
          <cell r="I36">
            <v>31.509</v>
          </cell>
          <cell r="J36">
            <v>33.082999999999998</v>
          </cell>
        </row>
        <row r="37">
          <cell r="A37" t="str">
            <v>52730C</v>
          </cell>
          <cell r="B37" t="str">
            <v>CPED Project Coordinator-C</v>
          </cell>
          <cell r="C37" t="str">
            <v>CAF</v>
          </cell>
          <cell r="D37" t="str">
            <v>120</v>
          </cell>
          <cell r="F37">
            <v>37.674999999999997</v>
          </cell>
          <cell r="G37">
            <v>39.56</v>
          </cell>
          <cell r="H37">
            <v>41.537999999999997</v>
          </cell>
          <cell r="I37">
            <v>43.613999999999997</v>
          </cell>
          <cell r="J37">
            <v>45.795999999999999</v>
          </cell>
        </row>
        <row r="38">
          <cell r="A38" t="str">
            <v>02775C</v>
          </cell>
          <cell r="B38" t="str">
            <v>Crime Prevention Specialist-C</v>
          </cell>
          <cell r="C38" t="str">
            <v>CAF</v>
          </cell>
          <cell r="D38" t="str">
            <v>105</v>
          </cell>
          <cell r="F38">
            <v>31.673999999999999</v>
          </cell>
          <cell r="G38">
            <v>33.259</v>
          </cell>
          <cell r="H38">
            <v>34.920999999999999</v>
          </cell>
          <cell r="I38">
            <v>36.667000000000002</v>
          </cell>
          <cell r="J38">
            <v>38.502000000000002</v>
          </cell>
        </row>
        <row r="39">
          <cell r="A39" t="str">
            <v>02850C</v>
          </cell>
          <cell r="B39" t="str">
            <v>Customer Service Rep I-C</v>
          </cell>
          <cell r="C39" t="str">
            <v>CAF</v>
          </cell>
          <cell r="D39" t="str">
            <v>060</v>
          </cell>
          <cell r="F39">
            <v>26.105</v>
          </cell>
          <cell r="G39">
            <v>27.413</v>
          </cell>
          <cell r="H39">
            <v>28.780999999999999</v>
          </cell>
          <cell r="I39">
            <v>30.221</v>
          </cell>
          <cell r="J39">
            <v>31.731999999999999</v>
          </cell>
        </row>
        <row r="40">
          <cell r="A40" t="str">
            <v>02860C</v>
          </cell>
          <cell r="B40" t="str">
            <v>Customer Service Rep II-C</v>
          </cell>
          <cell r="C40" t="str">
            <v>CAF</v>
          </cell>
          <cell r="D40" t="str">
            <v>067</v>
          </cell>
          <cell r="F40">
            <v>28.324000000000002</v>
          </cell>
          <cell r="G40">
            <v>29.738</v>
          </cell>
          <cell r="H40">
            <v>31.225000000000001</v>
          </cell>
          <cell r="I40">
            <v>32.787999999999997</v>
          </cell>
          <cell r="J40">
            <v>34.424999999999997</v>
          </cell>
        </row>
        <row r="41">
          <cell r="A41" t="str">
            <v>53038C</v>
          </cell>
          <cell r="B41" t="str">
            <v>Customer Service Rep, Lead-C</v>
          </cell>
          <cell r="C41" t="str">
            <v>CAF</v>
          </cell>
          <cell r="D41" t="str">
            <v>084</v>
          </cell>
          <cell r="F41">
            <v>30.58</v>
          </cell>
          <cell r="G41">
            <v>32.109000000000002</v>
          </cell>
          <cell r="H41">
            <v>33.715000000000003</v>
          </cell>
          <cell r="I41">
            <v>35.402000000000001</v>
          </cell>
          <cell r="J41">
            <v>37.171999999999997</v>
          </cell>
        </row>
        <row r="42">
          <cell r="A42" t="str">
            <v>03037C</v>
          </cell>
          <cell r="B42" t="str">
            <v>Development Coordinator I - C</v>
          </cell>
          <cell r="C42" t="str">
            <v>CAF</v>
          </cell>
          <cell r="D42" t="str">
            <v>084</v>
          </cell>
          <cell r="F42">
            <v>30.58</v>
          </cell>
          <cell r="G42">
            <v>32.109000000000002</v>
          </cell>
          <cell r="H42">
            <v>33.715000000000003</v>
          </cell>
          <cell r="I42">
            <v>35.402000000000001</v>
          </cell>
          <cell r="J42">
            <v>37.171999999999997</v>
          </cell>
        </row>
        <row r="43">
          <cell r="A43" t="str">
            <v>03038C</v>
          </cell>
          <cell r="B43" t="str">
            <v>Development Coordinator II -C</v>
          </cell>
          <cell r="C43" t="str">
            <v>CAF</v>
          </cell>
          <cell r="D43" t="str">
            <v>209</v>
          </cell>
          <cell r="F43">
            <v>35.066000000000003</v>
          </cell>
          <cell r="G43">
            <v>36.819000000000003</v>
          </cell>
          <cell r="H43">
            <v>38.661000000000001</v>
          </cell>
          <cell r="I43">
            <v>40.594000000000001</v>
          </cell>
          <cell r="J43">
            <v>42.622999999999998</v>
          </cell>
        </row>
        <row r="44">
          <cell r="A44" t="str">
            <v>03627C</v>
          </cell>
          <cell r="B44" t="str">
            <v>Document Solution Ct Tech I-C</v>
          </cell>
          <cell r="C44" t="str">
            <v>CAF</v>
          </cell>
          <cell r="D44" t="str">
            <v>027</v>
          </cell>
          <cell r="F44">
            <v>24.96</v>
          </cell>
          <cell r="G44">
            <v>26.207000000000001</v>
          </cell>
          <cell r="H44">
            <v>27.518000000000001</v>
          </cell>
          <cell r="I44">
            <v>28.895</v>
          </cell>
          <cell r="J44">
            <v>30.338999999999999</v>
          </cell>
        </row>
        <row r="45">
          <cell r="A45" t="str">
            <v>03628C</v>
          </cell>
          <cell r="B45" t="str">
            <v>Document Solution Ct Tech II-C</v>
          </cell>
          <cell r="C45" t="str">
            <v>CAF</v>
          </cell>
          <cell r="D45" t="str">
            <v>116</v>
          </cell>
          <cell r="F45">
            <v>29.445</v>
          </cell>
          <cell r="G45">
            <v>30.919</v>
          </cell>
          <cell r="H45">
            <v>32.463999999999999</v>
          </cell>
          <cell r="I45">
            <v>34.088000000000001</v>
          </cell>
          <cell r="J45">
            <v>35.790999999999997</v>
          </cell>
        </row>
        <row r="46">
          <cell r="A46" t="str">
            <v>03835C</v>
          </cell>
          <cell r="B46" t="str">
            <v>Election Specialist - C</v>
          </cell>
          <cell r="C46" t="str">
            <v>CAF</v>
          </cell>
          <cell r="D46" t="str">
            <v>205</v>
          </cell>
          <cell r="F46">
            <v>30.58</v>
          </cell>
          <cell r="G46">
            <v>32.109000000000002</v>
          </cell>
          <cell r="H46">
            <v>33.715000000000003</v>
          </cell>
          <cell r="I46">
            <v>35.402000000000001</v>
          </cell>
          <cell r="J46">
            <v>37.170999999999999</v>
          </cell>
        </row>
        <row r="47">
          <cell r="A47" t="str">
            <v>04024C</v>
          </cell>
          <cell r="B47" t="str">
            <v>Engineering Tech I Eng Lab-C</v>
          </cell>
          <cell r="C47" t="str">
            <v>CAF</v>
          </cell>
          <cell r="D47" t="str">
            <v>127</v>
          </cell>
          <cell r="F47">
            <v>26.628</v>
          </cell>
          <cell r="G47">
            <v>27.960999999999999</v>
          </cell>
          <cell r="H47">
            <v>29.356999999999999</v>
          </cell>
          <cell r="I47">
            <v>30.824000000000002</v>
          </cell>
          <cell r="J47">
            <v>32.368000000000002</v>
          </cell>
        </row>
        <row r="48">
          <cell r="A48" t="str">
            <v>04010C</v>
          </cell>
          <cell r="B48" t="str">
            <v>Engineering Tech I Seasonal-C</v>
          </cell>
          <cell r="C48" t="str">
            <v>CAF</v>
          </cell>
          <cell r="D48" t="str">
            <v>202</v>
          </cell>
          <cell r="F48">
            <v>21.303000000000001</v>
          </cell>
          <cell r="G48">
            <v>22.367000000000001</v>
          </cell>
          <cell r="H48">
            <v>23.486999999999998</v>
          </cell>
          <cell r="I48">
            <v>24.66</v>
          </cell>
          <cell r="J48">
            <v>25.893999999999998</v>
          </cell>
        </row>
        <row r="49">
          <cell r="A49" t="str">
            <v>04034C</v>
          </cell>
          <cell r="B49" t="str">
            <v>Engineering Tech II Eng Lab-C</v>
          </cell>
          <cell r="C49" t="str">
            <v>CAF</v>
          </cell>
          <cell r="D49" t="str">
            <v>128</v>
          </cell>
          <cell r="F49">
            <v>30.033999999999999</v>
          </cell>
          <cell r="G49">
            <v>31.536999999999999</v>
          </cell>
          <cell r="H49">
            <v>33.113999999999997</v>
          </cell>
          <cell r="I49">
            <v>34.770000000000003</v>
          </cell>
          <cell r="J49">
            <v>36.508000000000003</v>
          </cell>
        </row>
        <row r="50">
          <cell r="A50" t="str">
            <v>04044C</v>
          </cell>
          <cell r="B50" t="str">
            <v>Engineering Tech III Graphic-C</v>
          </cell>
          <cell r="C50" t="str">
            <v>CAF</v>
          </cell>
          <cell r="D50" t="str">
            <v>133</v>
          </cell>
          <cell r="F50">
            <v>31.638999999999999</v>
          </cell>
          <cell r="G50">
            <v>33.220999999999997</v>
          </cell>
          <cell r="H50">
            <v>34.881999999999998</v>
          </cell>
          <cell r="I50">
            <v>36.625999999999998</v>
          </cell>
          <cell r="J50">
            <v>38.457000000000001</v>
          </cell>
        </row>
        <row r="51">
          <cell r="A51" t="str">
            <v>04048C</v>
          </cell>
          <cell r="B51" t="str">
            <v>Engineering Tech III Survey-C</v>
          </cell>
          <cell r="C51" t="str">
            <v>CAF</v>
          </cell>
          <cell r="D51" t="str">
            <v>133</v>
          </cell>
          <cell r="F51">
            <v>31.638999999999999</v>
          </cell>
          <cell r="G51">
            <v>33.220999999999997</v>
          </cell>
          <cell r="H51">
            <v>34.881999999999998</v>
          </cell>
          <cell r="I51">
            <v>36.625999999999998</v>
          </cell>
          <cell r="J51">
            <v>38.457000000000001</v>
          </cell>
        </row>
        <row r="52">
          <cell r="A52" t="str">
            <v>04031C</v>
          </cell>
          <cell r="B52" t="str">
            <v>Engineering Technician Asst-C</v>
          </cell>
          <cell r="C52" t="str">
            <v>CAF</v>
          </cell>
          <cell r="D52" t="str">
            <v>003</v>
          </cell>
          <cell r="F52">
            <v>22.164000000000001</v>
          </cell>
          <cell r="G52">
            <v>23.27</v>
          </cell>
          <cell r="H52">
            <v>24.436</v>
          </cell>
          <cell r="I52">
            <v>25.655999999999999</v>
          </cell>
          <cell r="J52">
            <v>26.937999999999999</v>
          </cell>
        </row>
        <row r="53">
          <cell r="A53" t="str">
            <v>04022C</v>
          </cell>
          <cell r="B53" t="str">
            <v>Engineering Technician I - C</v>
          </cell>
          <cell r="C53" t="str">
            <v>CAF</v>
          </cell>
          <cell r="D53" t="str">
            <v>127</v>
          </cell>
          <cell r="F53">
            <v>26.628</v>
          </cell>
          <cell r="G53">
            <v>27.960999999999999</v>
          </cell>
          <cell r="H53">
            <v>29.356999999999999</v>
          </cell>
          <cell r="I53">
            <v>30.824000000000002</v>
          </cell>
          <cell r="J53">
            <v>32.368000000000002</v>
          </cell>
        </row>
        <row r="54">
          <cell r="A54" t="str">
            <v>04032C</v>
          </cell>
          <cell r="B54" t="str">
            <v>Engineering Technician II - C</v>
          </cell>
          <cell r="C54" t="str">
            <v>CAF</v>
          </cell>
          <cell r="D54" t="str">
            <v>128</v>
          </cell>
          <cell r="F54">
            <v>30.033999999999999</v>
          </cell>
          <cell r="G54">
            <v>31.536999999999999</v>
          </cell>
          <cell r="H54">
            <v>33.113999999999997</v>
          </cell>
          <cell r="I54">
            <v>34.770000000000003</v>
          </cell>
          <cell r="J54">
            <v>36.508000000000003</v>
          </cell>
        </row>
        <row r="55">
          <cell r="A55" t="str">
            <v>04042C</v>
          </cell>
          <cell r="B55" t="str">
            <v>Engineering Technician III - C</v>
          </cell>
          <cell r="C55" t="str">
            <v>CAF</v>
          </cell>
          <cell r="D55" t="str">
            <v>133</v>
          </cell>
          <cell r="F55">
            <v>31.638999999999999</v>
          </cell>
          <cell r="G55">
            <v>33.220999999999997</v>
          </cell>
          <cell r="H55">
            <v>34.881999999999998</v>
          </cell>
          <cell r="I55">
            <v>36.625999999999998</v>
          </cell>
          <cell r="J55">
            <v>38.457000000000001</v>
          </cell>
        </row>
        <row r="56">
          <cell r="A56" t="str">
            <v>04232C</v>
          </cell>
          <cell r="B56" t="str">
            <v>Evidence Technician-C</v>
          </cell>
          <cell r="C56" t="str">
            <v>CAF</v>
          </cell>
          <cell r="D56" t="str">
            <v>065</v>
          </cell>
          <cell r="F56">
            <v>27.216999999999999</v>
          </cell>
          <cell r="G56">
            <v>28.579000000000001</v>
          </cell>
          <cell r="H56">
            <v>30.006</v>
          </cell>
          <cell r="I56">
            <v>31.509</v>
          </cell>
          <cell r="J56">
            <v>33.082999999999998</v>
          </cell>
        </row>
        <row r="57">
          <cell r="A57" t="str">
            <v>04261C</v>
          </cell>
          <cell r="B57" t="str">
            <v>Exhibitor Service Spec II-C</v>
          </cell>
          <cell r="C57" t="str">
            <v>CAF</v>
          </cell>
          <cell r="D57" t="str">
            <v>051</v>
          </cell>
          <cell r="F57">
            <v>24.96</v>
          </cell>
          <cell r="G57">
            <v>26.207000000000001</v>
          </cell>
          <cell r="H57">
            <v>27.518000000000001</v>
          </cell>
          <cell r="I57">
            <v>28.895</v>
          </cell>
          <cell r="J57">
            <v>30.338999999999999</v>
          </cell>
        </row>
        <row r="58">
          <cell r="A58" t="str">
            <v>04260C</v>
          </cell>
          <cell r="B58" t="str">
            <v>Exhibitor Service Specialist I</v>
          </cell>
          <cell r="C58" t="str">
            <v>CAF</v>
          </cell>
          <cell r="D58" t="str">
            <v>151</v>
          </cell>
          <cell r="F58">
            <v>22.706</v>
          </cell>
          <cell r="G58">
            <v>23.841000000000001</v>
          </cell>
          <cell r="H58">
            <v>25.033000000000001</v>
          </cell>
          <cell r="I58">
            <v>26.283999999999999</v>
          </cell>
          <cell r="J58">
            <v>27.599</v>
          </cell>
        </row>
        <row r="59">
          <cell r="A59" t="str">
            <v>04382C</v>
          </cell>
          <cell r="B59" t="str">
            <v>Fire Inspections Spec III-C</v>
          </cell>
          <cell r="C59" t="str">
            <v>CAF</v>
          </cell>
          <cell r="D59" t="str">
            <v>119</v>
          </cell>
          <cell r="F59">
            <v>38.923999999999999</v>
          </cell>
          <cell r="G59">
            <v>40.871000000000002</v>
          </cell>
          <cell r="H59">
            <v>42.912999999999997</v>
          </cell>
          <cell r="I59">
            <v>45.06</v>
          </cell>
          <cell r="J59">
            <v>47.311999999999998</v>
          </cell>
        </row>
        <row r="60">
          <cell r="A60" t="str">
            <v>04384C</v>
          </cell>
          <cell r="B60" t="str">
            <v>Fire Inspections Speclst I-C</v>
          </cell>
          <cell r="C60" t="str">
            <v>CAF</v>
          </cell>
          <cell r="D60" t="str">
            <v>207</v>
          </cell>
          <cell r="F60">
            <v>31.672000000000001</v>
          </cell>
          <cell r="G60">
            <v>33.259</v>
          </cell>
          <cell r="H60">
            <v>34.920999999999999</v>
          </cell>
          <cell r="I60">
            <v>36.667000000000002</v>
          </cell>
          <cell r="J60">
            <v>38.502000000000002</v>
          </cell>
        </row>
        <row r="61">
          <cell r="A61" t="str">
            <v>04386C</v>
          </cell>
          <cell r="B61" t="str">
            <v>Fire Inspections Speclst II-C</v>
          </cell>
          <cell r="C61" t="str">
            <v>CAF</v>
          </cell>
          <cell r="D61" t="str">
            <v>099</v>
          </cell>
          <cell r="F61">
            <v>34.450000000000003</v>
          </cell>
          <cell r="G61">
            <v>36.173000000000002</v>
          </cell>
          <cell r="H61">
            <v>37.981000000000002</v>
          </cell>
          <cell r="I61">
            <v>39.880000000000003</v>
          </cell>
          <cell r="J61">
            <v>41.875999999999998</v>
          </cell>
        </row>
        <row r="62">
          <cell r="A62" t="str">
            <v>05062C</v>
          </cell>
          <cell r="B62" t="str">
            <v>Forensic Firearms Technician</v>
          </cell>
          <cell r="C62" t="str">
            <v>CAF</v>
          </cell>
          <cell r="D62" t="str">
            <v>206</v>
          </cell>
          <cell r="F62">
            <v>31.673999999999999</v>
          </cell>
          <cell r="G62">
            <v>33.259</v>
          </cell>
          <cell r="H62">
            <v>34.920999999999999</v>
          </cell>
          <cell r="I62">
            <v>36.667000000000002</v>
          </cell>
          <cell r="J62">
            <v>38.502000000000002</v>
          </cell>
        </row>
        <row r="63">
          <cell r="A63" t="str">
            <v>05035C</v>
          </cell>
          <cell r="B63" t="str">
            <v>Forensic Technician</v>
          </cell>
          <cell r="C63" t="str">
            <v>CAF</v>
          </cell>
          <cell r="D63" t="str">
            <v>083</v>
          </cell>
          <cell r="F63">
            <v>29.445</v>
          </cell>
          <cell r="G63">
            <v>30.919</v>
          </cell>
          <cell r="H63">
            <v>32.463999999999999</v>
          </cell>
          <cell r="I63">
            <v>34.088000000000001</v>
          </cell>
          <cell r="J63">
            <v>35.790999999999997</v>
          </cell>
        </row>
        <row r="64">
          <cell r="A64" t="str">
            <v>05330C</v>
          </cell>
          <cell r="B64" t="str">
            <v>Graphic Designer I Engineer-C</v>
          </cell>
          <cell r="C64" t="str">
            <v>CAF</v>
          </cell>
          <cell r="D64" t="str">
            <v>081</v>
          </cell>
          <cell r="F64">
            <v>28.324000000000002</v>
          </cell>
          <cell r="G64">
            <v>29.738</v>
          </cell>
          <cell r="H64">
            <v>31.225000000000001</v>
          </cell>
          <cell r="I64">
            <v>32.786999999999999</v>
          </cell>
          <cell r="J64">
            <v>34.424999999999997</v>
          </cell>
        </row>
        <row r="65">
          <cell r="A65" t="str">
            <v>05340C</v>
          </cell>
          <cell r="B65" t="str">
            <v>Graphic Designer II-C</v>
          </cell>
          <cell r="C65" t="str">
            <v>CAF</v>
          </cell>
          <cell r="D65" t="str">
            <v>090</v>
          </cell>
          <cell r="F65">
            <v>30.58</v>
          </cell>
          <cell r="G65">
            <v>32.109000000000002</v>
          </cell>
          <cell r="H65">
            <v>33.715000000000003</v>
          </cell>
          <cell r="I65">
            <v>35.402000000000001</v>
          </cell>
          <cell r="J65">
            <v>37.170999999999999</v>
          </cell>
        </row>
        <row r="66">
          <cell r="A66" t="str">
            <v xml:space="preserve">52979C </v>
          </cell>
          <cell r="B66" t="str">
            <v>Guest Services Support Tech-C</v>
          </cell>
          <cell r="C66" t="str">
            <v>CAF</v>
          </cell>
          <cell r="D66" t="str">
            <v>145</v>
          </cell>
          <cell r="F66">
            <v>27.22</v>
          </cell>
          <cell r="G66">
            <v>28.576000000000001</v>
          </cell>
          <cell r="H66">
            <v>30.01</v>
          </cell>
          <cell r="I66">
            <v>31.512</v>
          </cell>
          <cell r="J66">
            <v>33.082999999999998</v>
          </cell>
        </row>
        <row r="67">
          <cell r="A67" t="str">
            <v>59404C</v>
          </cell>
          <cell r="B67" t="str">
            <v>Healthy Homes Inspctns Coord-C</v>
          </cell>
          <cell r="C67" t="str">
            <v>CAF</v>
          </cell>
          <cell r="D67" t="str">
            <v>124</v>
          </cell>
          <cell r="F67">
            <v>37.313000000000002</v>
          </cell>
          <cell r="G67">
            <v>39.179000000000002</v>
          </cell>
          <cell r="H67">
            <v>41.137999999999998</v>
          </cell>
          <cell r="I67">
            <v>43.195</v>
          </cell>
          <cell r="J67">
            <v>45.354999999999997</v>
          </cell>
        </row>
        <row r="68">
          <cell r="A68" t="str">
            <v>05412C</v>
          </cell>
          <cell r="B68" t="str">
            <v>HR Associate-C</v>
          </cell>
          <cell r="C68" t="str">
            <v>CAF</v>
          </cell>
          <cell r="D68" t="str">
            <v>156</v>
          </cell>
          <cell r="F68">
            <v>29.393999999999998</v>
          </cell>
          <cell r="G68">
            <v>30.864999999999998</v>
          </cell>
          <cell r="H68">
            <v>32.408000000000001</v>
          </cell>
          <cell r="I68">
            <v>34.029000000000003</v>
          </cell>
          <cell r="J68">
            <v>35.729999999999997</v>
          </cell>
        </row>
        <row r="69">
          <cell r="A69" t="str">
            <v>05466C</v>
          </cell>
          <cell r="B69" t="str">
            <v>Inspector Board and Lodging-C</v>
          </cell>
          <cell r="C69" t="str">
            <v>CAF</v>
          </cell>
          <cell r="D69" t="str">
            <v>209</v>
          </cell>
          <cell r="F69">
            <v>35.066000000000003</v>
          </cell>
          <cell r="G69">
            <v>36.819000000000003</v>
          </cell>
          <cell r="H69">
            <v>38.661000000000001</v>
          </cell>
          <cell r="I69">
            <v>40.594000000000001</v>
          </cell>
          <cell r="J69">
            <v>42.622999999999998</v>
          </cell>
        </row>
        <row r="70">
          <cell r="A70" t="str">
            <v>05500C</v>
          </cell>
          <cell r="B70" t="str">
            <v>Inspector Environmental I-C</v>
          </cell>
          <cell r="C70" t="str">
            <v>CAF</v>
          </cell>
          <cell r="D70" t="str">
            <v>084</v>
          </cell>
          <cell r="F70">
            <v>30.58</v>
          </cell>
          <cell r="G70">
            <v>32.109000000000002</v>
          </cell>
          <cell r="H70">
            <v>33.715000000000003</v>
          </cell>
          <cell r="I70">
            <v>35.402000000000001</v>
          </cell>
          <cell r="J70">
            <v>37.171999999999997</v>
          </cell>
        </row>
        <row r="71">
          <cell r="A71" t="str">
            <v>05510C</v>
          </cell>
          <cell r="B71" t="str">
            <v>Inspector Environmental II-C</v>
          </cell>
          <cell r="C71" t="str">
            <v>CAF</v>
          </cell>
          <cell r="D71" t="str">
            <v>099</v>
          </cell>
          <cell r="F71">
            <v>34.450000000000003</v>
          </cell>
          <cell r="G71">
            <v>36.173000000000002</v>
          </cell>
          <cell r="H71">
            <v>37.981000000000002</v>
          </cell>
          <cell r="I71">
            <v>39.880000000000003</v>
          </cell>
          <cell r="J71">
            <v>41.875999999999998</v>
          </cell>
        </row>
        <row r="72">
          <cell r="A72" t="str">
            <v>53025C</v>
          </cell>
          <cell r="B72" t="str">
            <v>Inspector Housing - SIG-C</v>
          </cell>
          <cell r="C72" t="str">
            <v>CAF</v>
          </cell>
          <cell r="D72" t="str">
            <v>131</v>
          </cell>
          <cell r="F72">
            <v>35.066000000000003</v>
          </cell>
          <cell r="G72">
            <v>36.819000000000003</v>
          </cell>
          <cell r="H72">
            <v>38.661000000000001</v>
          </cell>
          <cell r="I72">
            <v>40.594000000000001</v>
          </cell>
          <cell r="J72">
            <v>42.622</v>
          </cell>
        </row>
        <row r="73">
          <cell r="A73" t="str">
            <v>05570C</v>
          </cell>
          <cell r="B73" t="str">
            <v>Inspector Housing I-C</v>
          </cell>
          <cell r="C73" t="str">
            <v>CAF</v>
          </cell>
          <cell r="D73" t="str">
            <v>084</v>
          </cell>
          <cell r="F73">
            <v>30.58</v>
          </cell>
          <cell r="G73">
            <v>32.109000000000002</v>
          </cell>
          <cell r="H73">
            <v>33.715000000000003</v>
          </cell>
          <cell r="I73">
            <v>35.402000000000001</v>
          </cell>
          <cell r="J73">
            <v>37.171999999999997</v>
          </cell>
        </row>
        <row r="74">
          <cell r="A74" t="str">
            <v>05580C</v>
          </cell>
          <cell r="B74" t="str">
            <v>Inspector Housing II-C</v>
          </cell>
          <cell r="C74" t="str">
            <v>CAF</v>
          </cell>
          <cell r="D74" t="str">
            <v>099</v>
          </cell>
          <cell r="F74">
            <v>34.450000000000003</v>
          </cell>
          <cell r="G74">
            <v>36.173000000000002</v>
          </cell>
          <cell r="H74">
            <v>37.981000000000002</v>
          </cell>
          <cell r="I74">
            <v>39.880000000000003</v>
          </cell>
          <cell r="J74">
            <v>41.875999999999998</v>
          </cell>
        </row>
        <row r="75">
          <cell r="A75" t="str">
            <v>05590C</v>
          </cell>
          <cell r="B75" t="str">
            <v>Inspector License-Cons Svcs-C</v>
          </cell>
          <cell r="C75" t="str">
            <v>CAF</v>
          </cell>
          <cell r="D75" t="str">
            <v>209</v>
          </cell>
          <cell r="F75">
            <v>35.066000000000003</v>
          </cell>
          <cell r="G75">
            <v>36.819000000000003</v>
          </cell>
          <cell r="H75">
            <v>38.661000000000001</v>
          </cell>
          <cell r="I75">
            <v>40.594000000000001</v>
          </cell>
          <cell r="J75">
            <v>42.622999999999998</v>
          </cell>
        </row>
        <row r="76">
          <cell r="A76" t="str">
            <v>05665C</v>
          </cell>
          <cell r="B76" t="str">
            <v>Inspector Utilty Connections-C</v>
          </cell>
          <cell r="C76" t="str">
            <v>CAF</v>
          </cell>
          <cell r="D76" t="str">
            <v>207</v>
          </cell>
          <cell r="F76">
            <v>31.672000000000001</v>
          </cell>
          <cell r="G76">
            <v>33.259</v>
          </cell>
          <cell r="H76">
            <v>34.920999999999999</v>
          </cell>
          <cell r="I76">
            <v>36.667000000000002</v>
          </cell>
          <cell r="J76">
            <v>38.502000000000002</v>
          </cell>
        </row>
        <row r="77">
          <cell r="A77" t="str">
            <v>05690C</v>
          </cell>
          <cell r="B77" t="str">
            <v>Inspector Zoning II-C</v>
          </cell>
          <cell r="C77" t="str">
            <v>CAF</v>
          </cell>
          <cell r="D77" t="str">
            <v>099</v>
          </cell>
          <cell r="F77">
            <v>34.450000000000003</v>
          </cell>
          <cell r="G77">
            <v>36.173000000000002</v>
          </cell>
          <cell r="H77">
            <v>37.981000000000002</v>
          </cell>
          <cell r="I77">
            <v>39.880000000000003</v>
          </cell>
          <cell r="J77">
            <v>41.875999999999998</v>
          </cell>
        </row>
        <row r="78">
          <cell r="A78" t="str">
            <v>10084C</v>
          </cell>
          <cell r="B78" t="str">
            <v>IT Deskside Support Tech I - C</v>
          </cell>
          <cell r="C78" t="str">
            <v>CAF</v>
          </cell>
          <cell r="D78" t="str">
            <v>210</v>
          </cell>
          <cell r="F78">
            <v>28.818999999999999</v>
          </cell>
          <cell r="G78">
            <v>30.256</v>
          </cell>
          <cell r="H78">
            <v>31.771999999999998</v>
          </cell>
          <cell r="I78">
            <v>33.359000000000002</v>
          </cell>
          <cell r="J78">
            <v>35.027000000000001</v>
          </cell>
        </row>
        <row r="79">
          <cell r="A79" t="str">
            <v>10085C</v>
          </cell>
          <cell r="B79" t="str">
            <v>IT Deskside Support Tech II- C</v>
          </cell>
          <cell r="C79" t="str">
            <v>CAF</v>
          </cell>
          <cell r="D79" t="str">
            <v>150</v>
          </cell>
          <cell r="F79">
            <v>31.018000000000001</v>
          </cell>
          <cell r="G79">
            <v>32.569000000000003</v>
          </cell>
          <cell r="H79">
            <v>34.198999999999998</v>
          </cell>
          <cell r="I79">
            <v>35.906999999999996</v>
          </cell>
          <cell r="J79">
            <v>37.704000000000001</v>
          </cell>
        </row>
        <row r="80">
          <cell r="A80" t="str">
            <v>59416C</v>
          </cell>
          <cell r="B80" t="str">
            <v>IT Deskside Support Tech III-C</v>
          </cell>
          <cell r="C80" t="str">
            <v>CAF</v>
          </cell>
          <cell r="D80" t="str">
            <v>123</v>
          </cell>
          <cell r="F80">
            <v>33.938000000000002</v>
          </cell>
          <cell r="G80">
            <v>35.633000000000003</v>
          </cell>
          <cell r="H80">
            <v>37.415999999999997</v>
          </cell>
          <cell r="I80">
            <v>39.283999999999999</v>
          </cell>
          <cell r="J80">
            <v>41.249000000000002</v>
          </cell>
        </row>
        <row r="81">
          <cell r="A81" t="str">
            <v>52925C</v>
          </cell>
          <cell r="B81" t="str">
            <v>IT Security Specialist I</v>
          </cell>
          <cell r="C81" t="str">
            <v>CAF</v>
          </cell>
          <cell r="D81" t="str">
            <v>122</v>
          </cell>
          <cell r="F81">
            <v>31.673999999999999</v>
          </cell>
          <cell r="G81">
            <v>33.259</v>
          </cell>
          <cell r="H81">
            <v>34.920999999999999</v>
          </cell>
          <cell r="I81">
            <v>36.667000000000002</v>
          </cell>
          <cell r="J81">
            <v>38.502000000000002</v>
          </cell>
        </row>
        <row r="82">
          <cell r="A82" t="str">
            <v>52926C</v>
          </cell>
          <cell r="B82" t="str">
            <v>IT Security Specialist II</v>
          </cell>
          <cell r="C82" t="str">
            <v>CAF</v>
          </cell>
          <cell r="D82" t="str">
            <v>123</v>
          </cell>
          <cell r="F82">
            <v>33.938000000000002</v>
          </cell>
          <cell r="G82">
            <v>35.633000000000003</v>
          </cell>
          <cell r="H82">
            <v>37.415999999999997</v>
          </cell>
          <cell r="I82">
            <v>39.283999999999999</v>
          </cell>
          <cell r="J82">
            <v>41.249000000000002</v>
          </cell>
        </row>
        <row r="83">
          <cell r="A83" t="str">
            <v>10086C</v>
          </cell>
          <cell r="B83" t="str">
            <v>IT Service Desk Agent I - C</v>
          </cell>
          <cell r="C83" t="str">
            <v>CAF</v>
          </cell>
          <cell r="D83" t="str">
            <v>130</v>
          </cell>
          <cell r="F83">
            <v>26.105</v>
          </cell>
          <cell r="G83">
            <v>27.413</v>
          </cell>
          <cell r="H83">
            <v>28.780999999999999</v>
          </cell>
          <cell r="I83">
            <v>30.221</v>
          </cell>
          <cell r="J83">
            <v>31.731999999999999</v>
          </cell>
        </row>
        <row r="84">
          <cell r="A84" t="str">
            <v>10087C</v>
          </cell>
          <cell r="B84" t="str">
            <v>IT Service Desk Agent II</v>
          </cell>
          <cell r="C84" t="str">
            <v>CAF</v>
          </cell>
          <cell r="D84" t="str">
            <v>210</v>
          </cell>
          <cell r="F84">
            <v>28.818999999999999</v>
          </cell>
          <cell r="G84">
            <v>30.256</v>
          </cell>
          <cell r="H84">
            <v>31.771999999999998</v>
          </cell>
          <cell r="I84">
            <v>33.359000000000002</v>
          </cell>
          <cell r="J84">
            <v>35.027000000000001</v>
          </cell>
        </row>
        <row r="85">
          <cell r="A85" t="str">
            <v>05910C</v>
          </cell>
          <cell r="B85" t="str">
            <v>Laboratory Tech Seasonal-C</v>
          </cell>
          <cell r="C85" t="str">
            <v>CAF</v>
          </cell>
          <cell r="D85" t="str">
            <v>201</v>
          </cell>
          <cell r="F85">
            <v>20.773</v>
          </cell>
          <cell r="G85">
            <v>21.811</v>
          </cell>
          <cell r="H85">
            <v>22.902000000000001</v>
          </cell>
          <cell r="I85">
            <v>24.047000000000001</v>
          </cell>
          <cell r="J85">
            <v>25.248000000000001</v>
          </cell>
        </row>
        <row r="86">
          <cell r="A86" t="str">
            <v>05920C</v>
          </cell>
          <cell r="B86" t="str">
            <v>Laboratory Technician-C</v>
          </cell>
          <cell r="C86" t="str">
            <v>CAF</v>
          </cell>
          <cell r="D86" t="str">
            <v>073</v>
          </cell>
          <cell r="F86">
            <v>25.966000000000001</v>
          </cell>
          <cell r="G86">
            <v>27.265000000000001</v>
          </cell>
          <cell r="H86">
            <v>28.626999999999999</v>
          </cell>
          <cell r="I86">
            <v>30.059000000000001</v>
          </cell>
          <cell r="J86">
            <v>31.562999999999999</v>
          </cell>
        </row>
        <row r="87">
          <cell r="A87" t="str">
            <v>05952C</v>
          </cell>
          <cell r="B87" t="str">
            <v>Lead CodeCompliance Spec - trf</v>
          </cell>
          <cell r="C87" t="str">
            <v>CAF</v>
          </cell>
          <cell r="D87" t="str">
            <v>064</v>
          </cell>
          <cell r="F87">
            <v>30.58</v>
          </cell>
          <cell r="G87">
            <v>32.109000000000002</v>
          </cell>
          <cell r="H87">
            <v>33.715000000000003</v>
          </cell>
          <cell r="I87">
            <v>35.402000000000001</v>
          </cell>
          <cell r="J87">
            <v>37.170999999999999</v>
          </cell>
        </row>
        <row r="88">
          <cell r="A88" t="str">
            <v>05985C</v>
          </cell>
          <cell r="B88" t="str">
            <v>Lead Inspector Housing-C</v>
          </cell>
          <cell r="C88" t="str">
            <v>CAF</v>
          </cell>
          <cell r="D88" t="str">
            <v>101</v>
          </cell>
          <cell r="F88">
            <v>37.787999999999997</v>
          </cell>
          <cell r="G88">
            <v>39.677</v>
          </cell>
          <cell r="H88">
            <v>41.661999999999999</v>
          </cell>
          <cell r="I88">
            <v>43.743000000000002</v>
          </cell>
          <cell r="J88">
            <v>45.933</v>
          </cell>
        </row>
        <row r="89">
          <cell r="A89" t="str">
            <v>05995C</v>
          </cell>
          <cell r="B89" t="str">
            <v>Lead Inspector Lic &amp; Con Srv-C</v>
          </cell>
          <cell r="C89" t="str">
            <v>CAF</v>
          </cell>
          <cell r="D89" t="str">
            <v>101</v>
          </cell>
          <cell r="F89">
            <v>37.787999999999997</v>
          </cell>
          <cell r="G89">
            <v>39.677</v>
          </cell>
          <cell r="H89">
            <v>41.661999999999999</v>
          </cell>
          <cell r="I89">
            <v>43.743000000000002</v>
          </cell>
          <cell r="J89">
            <v>45.933</v>
          </cell>
        </row>
        <row r="90">
          <cell r="A90" t="str">
            <v>06005C</v>
          </cell>
          <cell r="B90" t="str">
            <v>Lead Inspector Problem Prpty-C</v>
          </cell>
          <cell r="C90" t="str">
            <v>CAF</v>
          </cell>
          <cell r="D90" t="str">
            <v>101</v>
          </cell>
          <cell r="F90">
            <v>37.787999999999997</v>
          </cell>
          <cell r="G90">
            <v>39.677</v>
          </cell>
          <cell r="H90">
            <v>41.661999999999999</v>
          </cell>
          <cell r="I90">
            <v>43.743000000000002</v>
          </cell>
          <cell r="J90">
            <v>45.933</v>
          </cell>
        </row>
        <row r="91">
          <cell r="A91" t="str">
            <v>53087C</v>
          </cell>
          <cell r="B91" t="str">
            <v>Lead Utility Billing Spec</v>
          </cell>
          <cell r="C91" t="str">
            <v>CAF</v>
          </cell>
          <cell r="D91" t="str">
            <v>064</v>
          </cell>
          <cell r="F91">
            <v>30.58</v>
          </cell>
          <cell r="G91">
            <v>32.109000000000002</v>
          </cell>
          <cell r="H91">
            <v>33.715000000000003</v>
          </cell>
          <cell r="I91">
            <v>35.402000000000001</v>
          </cell>
          <cell r="J91">
            <v>37.170999999999999</v>
          </cell>
        </row>
        <row r="92">
          <cell r="A92" t="str">
            <v>06070C</v>
          </cell>
          <cell r="B92" t="str">
            <v>Legal Secretary-C</v>
          </cell>
          <cell r="C92" t="str">
            <v>CAF</v>
          </cell>
          <cell r="D92" t="str">
            <v>076</v>
          </cell>
          <cell r="F92">
            <v>27.216999999999999</v>
          </cell>
          <cell r="G92">
            <v>28.579000000000001</v>
          </cell>
          <cell r="H92">
            <v>30.006</v>
          </cell>
          <cell r="I92">
            <v>31.509</v>
          </cell>
          <cell r="J92">
            <v>33.082999999999998</v>
          </cell>
        </row>
        <row r="93">
          <cell r="A93" t="str">
            <v>06080C</v>
          </cell>
          <cell r="B93" t="str">
            <v>Legal Support Specialist - C</v>
          </cell>
          <cell r="C93" t="str">
            <v>CAF</v>
          </cell>
          <cell r="D93" t="str">
            <v>051</v>
          </cell>
          <cell r="F93">
            <v>24.96</v>
          </cell>
          <cell r="G93">
            <v>26.207000000000001</v>
          </cell>
          <cell r="H93">
            <v>27.518000000000001</v>
          </cell>
          <cell r="I93">
            <v>28.895</v>
          </cell>
          <cell r="J93">
            <v>30.338999999999999</v>
          </cell>
        </row>
        <row r="94">
          <cell r="A94" t="str">
            <v>52947C</v>
          </cell>
          <cell r="B94" t="str">
            <v>Legislative Clerk</v>
          </cell>
          <cell r="C94" t="str">
            <v>CAF</v>
          </cell>
          <cell r="D94" t="str">
            <v>164</v>
          </cell>
          <cell r="F94">
            <v>36.542999999999999</v>
          </cell>
          <cell r="G94">
            <v>38.369</v>
          </cell>
          <cell r="H94">
            <v>40.287999999999997</v>
          </cell>
          <cell r="I94">
            <v>42.302</v>
          </cell>
          <cell r="J94">
            <v>44.417000000000002</v>
          </cell>
        </row>
        <row r="95">
          <cell r="A95" t="str">
            <v>06150C</v>
          </cell>
          <cell r="B95" t="str">
            <v>Liability Investigator-C</v>
          </cell>
          <cell r="C95" t="str">
            <v>CAF</v>
          </cell>
          <cell r="D95" t="str">
            <v>097</v>
          </cell>
          <cell r="F95">
            <v>35.409999999999997</v>
          </cell>
          <cell r="G95">
            <v>37.18</v>
          </cell>
          <cell r="H95">
            <v>39.039000000000001</v>
          </cell>
          <cell r="I95">
            <v>40.991</v>
          </cell>
          <cell r="J95">
            <v>43.04</v>
          </cell>
        </row>
        <row r="96">
          <cell r="A96" t="str">
            <v>07050C</v>
          </cell>
          <cell r="B96" t="str">
            <v>Mayors Office Associate-C</v>
          </cell>
          <cell r="C96" t="str">
            <v>CAF</v>
          </cell>
          <cell r="D96" t="str">
            <v>143</v>
          </cell>
          <cell r="F96">
            <v>29.445</v>
          </cell>
          <cell r="G96">
            <v>30.919</v>
          </cell>
          <cell r="H96">
            <v>32.463999999999999</v>
          </cell>
          <cell r="I96">
            <v>34.088000000000001</v>
          </cell>
          <cell r="J96">
            <v>35.790999999999997</v>
          </cell>
        </row>
        <row r="97">
          <cell r="A97" t="str">
            <v>52994C</v>
          </cell>
          <cell r="B97" t="str">
            <v>MDP Warehouse Specialist</v>
          </cell>
          <cell r="C97" t="str">
            <v>CAF</v>
          </cell>
          <cell r="D97" t="str">
            <v>161</v>
          </cell>
          <cell r="F97">
            <v>28.324000000000002</v>
          </cell>
          <cell r="G97">
            <v>29.738</v>
          </cell>
          <cell r="H97">
            <v>31.225000000000001</v>
          </cell>
          <cell r="I97">
            <v>32.786999999999999</v>
          </cell>
          <cell r="J97">
            <v>34.424999999999997</v>
          </cell>
        </row>
        <row r="98">
          <cell r="A98" t="str">
            <v>07089C</v>
          </cell>
          <cell r="B98" t="str">
            <v>Medical Assistant-C</v>
          </cell>
          <cell r="C98" t="str">
            <v>CAF</v>
          </cell>
          <cell r="D98" t="str">
            <v>161</v>
          </cell>
          <cell r="F98">
            <v>28.324000000000002</v>
          </cell>
          <cell r="G98">
            <v>29.738</v>
          </cell>
          <cell r="H98">
            <v>31.225000000000001</v>
          </cell>
          <cell r="I98">
            <v>32.786999999999999</v>
          </cell>
          <cell r="J98">
            <v>34.424999999999997</v>
          </cell>
        </row>
        <row r="99">
          <cell r="A99" t="str">
            <v>06738C</v>
          </cell>
          <cell r="B99" t="str">
            <v>Mgr Hazardous Material Insps-C</v>
          </cell>
          <cell r="C99" t="str">
            <v>CAF</v>
          </cell>
          <cell r="D99" t="str">
            <v>118</v>
          </cell>
          <cell r="F99">
            <v>41.456000000000003</v>
          </cell>
          <cell r="G99">
            <v>43.529000000000003</v>
          </cell>
          <cell r="H99">
            <v>45.704999999999998</v>
          </cell>
          <cell r="I99">
            <v>47.991</v>
          </cell>
          <cell r="J99">
            <v>50.39</v>
          </cell>
        </row>
        <row r="100">
          <cell r="A100" t="str">
            <v>59412C</v>
          </cell>
          <cell r="B100" t="str">
            <v>MPD Body Worn Cameras Spec - C</v>
          </cell>
          <cell r="C100" t="str">
            <v>CAF</v>
          </cell>
          <cell r="D100" t="str">
            <v>155</v>
          </cell>
          <cell r="F100">
            <v>31.673999999999999</v>
          </cell>
          <cell r="G100">
            <v>33.259</v>
          </cell>
          <cell r="H100">
            <v>34.920999999999999</v>
          </cell>
          <cell r="I100">
            <v>36.667000000000002</v>
          </cell>
          <cell r="J100">
            <v>38.502000000000002</v>
          </cell>
        </row>
        <row r="101">
          <cell r="A101" t="str">
            <v>53011C</v>
          </cell>
          <cell r="B101" t="str">
            <v>MPD Field Technology Spec-C</v>
          </cell>
          <cell r="C101" t="str">
            <v>CAF</v>
          </cell>
          <cell r="D101" t="str">
            <v>054</v>
          </cell>
          <cell r="F101">
            <v>27.216999999999999</v>
          </cell>
          <cell r="G101">
            <v>28.579000000000001</v>
          </cell>
          <cell r="H101">
            <v>30.006</v>
          </cell>
          <cell r="I101">
            <v>31.509</v>
          </cell>
          <cell r="J101">
            <v>33.082999999999998</v>
          </cell>
        </row>
        <row r="102">
          <cell r="A102" t="str">
            <v>08143C</v>
          </cell>
          <cell r="B102" t="str">
            <v>MPD Internal Affrs Supp Spec</v>
          </cell>
          <cell r="C102" t="str">
            <v>CAF</v>
          </cell>
          <cell r="D102" t="str">
            <v>064</v>
          </cell>
          <cell r="F102">
            <v>30.58</v>
          </cell>
          <cell r="G102">
            <v>32.109000000000002</v>
          </cell>
          <cell r="H102">
            <v>33.715000000000003</v>
          </cell>
          <cell r="I102">
            <v>35.402000000000001</v>
          </cell>
          <cell r="J102">
            <v>37.170999999999999</v>
          </cell>
        </row>
        <row r="103">
          <cell r="A103" t="str">
            <v>52988C</v>
          </cell>
          <cell r="B103" t="str">
            <v>MPD Kit Coord-C</v>
          </cell>
          <cell r="C103" t="str">
            <v>CAF</v>
          </cell>
          <cell r="D103" t="str">
            <v>132</v>
          </cell>
          <cell r="F103">
            <v>28.324000000000002</v>
          </cell>
          <cell r="G103">
            <v>29.738</v>
          </cell>
          <cell r="H103">
            <v>31.225000000000001</v>
          </cell>
          <cell r="I103">
            <v>32.787999999999997</v>
          </cell>
          <cell r="J103">
            <v>34.424999999999997</v>
          </cell>
        </row>
        <row r="104">
          <cell r="A104" t="str">
            <v>59471C</v>
          </cell>
          <cell r="B104" t="str">
            <v>MPD Police Background Spec-C</v>
          </cell>
          <cell r="C104" t="str">
            <v>CAF</v>
          </cell>
          <cell r="D104" t="str">
            <v>210</v>
          </cell>
          <cell r="F104">
            <v>28.818999999999999</v>
          </cell>
          <cell r="G104">
            <v>30.256</v>
          </cell>
          <cell r="H104">
            <v>31.771999999999998</v>
          </cell>
          <cell r="I104">
            <v>33.359000000000002</v>
          </cell>
          <cell r="J104">
            <v>35.027000000000001</v>
          </cell>
        </row>
        <row r="105">
          <cell r="A105" t="str">
            <v>53000C</v>
          </cell>
          <cell r="B105" t="str">
            <v>MPD TAC/RMS Spec-C</v>
          </cell>
          <cell r="C105" t="str">
            <v>CAF</v>
          </cell>
          <cell r="D105" t="str">
            <v>216</v>
          </cell>
          <cell r="F105">
            <v>30.58</v>
          </cell>
          <cell r="G105">
            <v>32.109000000000002</v>
          </cell>
          <cell r="H105">
            <v>33.715000000000003</v>
          </cell>
          <cell r="I105">
            <v>35.402000000000001</v>
          </cell>
          <cell r="J105">
            <v>37.170999999999999</v>
          </cell>
        </row>
        <row r="106">
          <cell r="A106" t="str">
            <v>07281C</v>
          </cell>
          <cell r="B106" t="str">
            <v>Office Support Specialist I-C</v>
          </cell>
          <cell r="C106" t="str">
            <v>CAF</v>
          </cell>
          <cell r="D106" t="str">
            <v>211</v>
          </cell>
          <cell r="F106">
            <v>22.167999999999999</v>
          </cell>
          <cell r="G106">
            <v>23.274999999999999</v>
          </cell>
          <cell r="H106">
            <v>24.439</v>
          </cell>
          <cell r="I106">
            <v>25.661000000000001</v>
          </cell>
          <cell r="J106">
            <v>26.943999999999999</v>
          </cell>
        </row>
        <row r="107">
          <cell r="A107" t="str">
            <v>07284C</v>
          </cell>
          <cell r="B107" t="str">
            <v>Office Support Specialst II-C</v>
          </cell>
          <cell r="C107" t="str">
            <v>CAF</v>
          </cell>
          <cell r="D107" t="str">
            <v>051</v>
          </cell>
          <cell r="F107">
            <v>24.96</v>
          </cell>
          <cell r="G107">
            <v>26.207000000000001</v>
          </cell>
          <cell r="H107">
            <v>27.518000000000001</v>
          </cell>
          <cell r="I107">
            <v>28.895</v>
          </cell>
          <cell r="J107">
            <v>30.338999999999999</v>
          </cell>
        </row>
        <row r="108">
          <cell r="A108" t="str">
            <v>07285C</v>
          </cell>
          <cell r="B108" t="str">
            <v>Office Support Specialst III-C</v>
          </cell>
          <cell r="C108" t="str">
            <v>CAF</v>
          </cell>
          <cell r="D108" t="str">
            <v>076</v>
          </cell>
          <cell r="F108">
            <v>27.216999999999999</v>
          </cell>
          <cell r="G108">
            <v>28.579000000000001</v>
          </cell>
          <cell r="H108">
            <v>30.006</v>
          </cell>
          <cell r="I108">
            <v>31.509</v>
          </cell>
          <cell r="J108">
            <v>33.082999999999998</v>
          </cell>
        </row>
        <row r="109">
          <cell r="A109" t="str">
            <v>07282C</v>
          </cell>
          <cell r="B109" t="str">
            <v>Office Support Speclst ICf-C</v>
          </cell>
          <cell r="C109" t="str">
            <v>CAF</v>
          </cell>
          <cell r="D109" t="str">
            <v>211</v>
          </cell>
          <cell r="F109">
            <v>22.167999999999999</v>
          </cell>
          <cell r="G109">
            <v>23.274999999999999</v>
          </cell>
          <cell r="H109">
            <v>24.439</v>
          </cell>
          <cell r="I109">
            <v>25.661000000000001</v>
          </cell>
          <cell r="J109">
            <v>26.943999999999999</v>
          </cell>
        </row>
        <row r="110">
          <cell r="A110" t="str">
            <v>07286C</v>
          </cell>
          <cell r="B110" t="str">
            <v>Office Support Speclst IIICf-C</v>
          </cell>
          <cell r="C110" t="str">
            <v>CAF</v>
          </cell>
          <cell r="D110" t="str">
            <v>076</v>
          </cell>
          <cell r="F110">
            <v>27.216999999999999</v>
          </cell>
          <cell r="G110">
            <v>28.579000000000001</v>
          </cell>
          <cell r="H110">
            <v>30.006</v>
          </cell>
          <cell r="I110">
            <v>31.509</v>
          </cell>
          <cell r="J110">
            <v>33.082999999999998</v>
          </cell>
        </row>
        <row r="111">
          <cell r="A111" t="str">
            <v>06013C</v>
          </cell>
          <cell r="B111" t="str">
            <v>Outreach &amp; Relocation Coord-C</v>
          </cell>
          <cell r="C111" t="str">
            <v>CAF</v>
          </cell>
          <cell r="D111" t="str">
            <v>140</v>
          </cell>
          <cell r="F111">
            <v>29.445</v>
          </cell>
          <cell r="G111">
            <v>30.919</v>
          </cell>
          <cell r="H111">
            <v>32.463999999999999</v>
          </cell>
          <cell r="I111">
            <v>34.088000000000001</v>
          </cell>
          <cell r="J111">
            <v>35.790999999999997</v>
          </cell>
        </row>
        <row r="112">
          <cell r="A112" t="str">
            <v>07644C</v>
          </cell>
          <cell r="B112" t="str">
            <v>Payroll Technician - C</v>
          </cell>
          <cell r="C112" t="str">
            <v>CAF</v>
          </cell>
          <cell r="D112" t="str">
            <v>161</v>
          </cell>
          <cell r="F112">
            <v>28.324000000000002</v>
          </cell>
          <cell r="G112">
            <v>29.738</v>
          </cell>
          <cell r="H112">
            <v>31.225000000000001</v>
          </cell>
          <cell r="I112">
            <v>32.786999999999999</v>
          </cell>
          <cell r="J112">
            <v>34.424999999999997</v>
          </cell>
        </row>
        <row r="113">
          <cell r="A113" t="str">
            <v>07825C</v>
          </cell>
          <cell r="B113" t="str">
            <v>Plan Examiner I -C</v>
          </cell>
          <cell r="C113" t="str">
            <v>CAF</v>
          </cell>
          <cell r="D113" t="str">
            <v>103</v>
          </cell>
          <cell r="F113">
            <v>37.313000000000002</v>
          </cell>
          <cell r="G113">
            <v>39.177999999999997</v>
          </cell>
          <cell r="H113">
            <v>41.137999999999998</v>
          </cell>
          <cell r="I113">
            <v>43.195999999999998</v>
          </cell>
          <cell r="J113">
            <v>45.353999999999999</v>
          </cell>
        </row>
        <row r="114">
          <cell r="A114" t="str">
            <v>08080C</v>
          </cell>
          <cell r="B114" t="str">
            <v>Police Cadet-C</v>
          </cell>
          <cell r="C114" t="str">
            <v>CAF</v>
          </cell>
          <cell r="D114" t="str">
            <v>121</v>
          </cell>
          <cell r="F114">
            <v>24.050999999999998</v>
          </cell>
        </row>
        <row r="115">
          <cell r="A115" t="str">
            <v>59474C</v>
          </cell>
          <cell r="B115" t="str">
            <v>Police Records Technician-C</v>
          </cell>
          <cell r="C115" t="str">
            <v>CAF</v>
          </cell>
          <cell r="D115" t="str">
            <v>076</v>
          </cell>
          <cell r="F115">
            <v>27.216999999999999</v>
          </cell>
          <cell r="G115">
            <v>28.579000000000001</v>
          </cell>
          <cell r="H115">
            <v>30.006</v>
          </cell>
          <cell r="I115">
            <v>31.509</v>
          </cell>
          <cell r="J115">
            <v>33.082999999999998</v>
          </cell>
        </row>
        <row r="116">
          <cell r="A116" t="str">
            <v>53007C</v>
          </cell>
          <cell r="B116" t="str">
            <v>Police Support Specialist</v>
          </cell>
          <cell r="C116" t="str">
            <v>CAF</v>
          </cell>
          <cell r="D116" t="str">
            <v>125</v>
          </cell>
          <cell r="F116">
            <v>32.829000000000001</v>
          </cell>
          <cell r="G116">
            <v>34.468000000000004</v>
          </cell>
          <cell r="H116">
            <v>36.191000000000003</v>
          </cell>
          <cell r="I116">
            <v>38.002000000000002</v>
          </cell>
          <cell r="J116">
            <v>39.902000000000001</v>
          </cell>
        </row>
        <row r="117">
          <cell r="A117" t="str">
            <v>08241C</v>
          </cell>
          <cell r="B117" t="str">
            <v>Police Support Technician I-C</v>
          </cell>
          <cell r="C117" t="str">
            <v>CAF</v>
          </cell>
          <cell r="D117" t="str">
            <v>060</v>
          </cell>
          <cell r="F117">
            <v>26.105</v>
          </cell>
          <cell r="G117">
            <v>27.413</v>
          </cell>
          <cell r="H117">
            <v>28.780999999999999</v>
          </cell>
          <cell r="I117">
            <v>30.221</v>
          </cell>
          <cell r="J117">
            <v>31.731999999999999</v>
          </cell>
        </row>
        <row r="118">
          <cell r="A118" t="str">
            <v>08240C</v>
          </cell>
          <cell r="B118" t="str">
            <v>Police Support Technician II-C</v>
          </cell>
          <cell r="C118" t="str">
            <v>CAF</v>
          </cell>
          <cell r="D118" t="str">
            <v>140</v>
          </cell>
          <cell r="F118">
            <v>29.445</v>
          </cell>
          <cell r="G118">
            <v>30.919</v>
          </cell>
          <cell r="H118">
            <v>32.463999999999999</v>
          </cell>
          <cell r="I118">
            <v>34.088000000000001</v>
          </cell>
          <cell r="J118">
            <v>35.790999999999997</v>
          </cell>
        </row>
        <row r="119">
          <cell r="A119" t="str">
            <v>52900C</v>
          </cell>
          <cell r="B119" t="str">
            <v>Principal Project Crd (CPED)-C</v>
          </cell>
          <cell r="C119" t="str">
            <v>CAF</v>
          </cell>
          <cell r="D119" t="str">
            <v>117</v>
          </cell>
          <cell r="F119">
            <v>46.137999999999998</v>
          </cell>
          <cell r="G119">
            <v>48.445</v>
          </cell>
          <cell r="H119">
            <v>50.868000000000002</v>
          </cell>
          <cell r="I119">
            <v>53.411000000000001</v>
          </cell>
          <cell r="J119">
            <v>56.082000000000001</v>
          </cell>
        </row>
        <row r="120">
          <cell r="A120" t="str">
            <v>52950C</v>
          </cell>
          <cell r="B120" t="str">
            <v>Proc Logic Contr Technician-C</v>
          </cell>
          <cell r="C120" t="str">
            <v>CAF</v>
          </cell>
          <cell r="D120" t="str">
            <v>7</v>
          </cell>
          <cell r="F120">
            <v>31.667999999999999</v>
          </cell>
          <cell r="G120">
            <v>33.261000000000003</v>
          </cell>
          <cell r="H120">
            <v>34.918999999999997</v>
          </cell>
          <cell r="I120">
            <v>36.667000000000002</v>
          </cell>
          <cell r="J120">
            <v>38.506</v>
          </cell>
        </row>
        <row r="121">
          <cell r="A121" t="str">
            <v>08340C</v>
          </cell>
          <cell r="B121" t="str">
            <v>Program Aide II-C</v>
          </cell>
          <cell r="C121" t="str">
            <v>CAF</v>
          </cell>
          <cell r="D121" t="str">
            <v>160</v>
          </cell>
          <cell r="F121">
            <v>27.216999999999999</v>
          </cell>
          <cell r="G121">
            <v>28.579000000000001</v>
          </cell>
          <cell r="H121">
            <v>30.006</v>
          </cell>
          <cell r="I121">
            <v>31.509</v>
          </cell>
          <cell r="J121">
            <v>33.082999999999998</v>
          </cell>
        </row>
        <row r="122">
          <cell r="A122" t="str">
            <v>52981C</v>
          </cell>
          <cell r="B122" t="str">
            <v>Public Service Agent-C</v>
          </cell>
          <cell r="C122" t="str">
            <v>CAF</v>
          </cell>
          <cell r="D122" t="str">
            <v>067</v>
          </cell>
          <cell r="F122">
            <v>28.324000000000002</v>
          </cell>
          <cell r="G122">
            <v>29.738</v>
          </cell>
          <cell r="H122">
            <v>31.225000000000001</v>
          </cell>
          <cell r="I122">
            <v>32.787999999999997</v>
          </cell>
          <cell r="J122">
            <v>34.424999999999997</v>
          </cell>
        </row>
        <row r="123">
          <cell r="A123" t="str">
            <v>08630C</v>
          </cell>
          <cell r="B123" t="str">
            <v>Real Est Investgtr Aide I -C</v>
          </cell>
          <cell r="C123" t="str">
            <v>CAF</v>
          </cell>
          <cell r="D123" t="str">
            <v>026</v>
          </cell>
          <cell r="F123">
            <v>23.841999999999999</v>
          </cell>
          <cell r="G123">
            <v>25.035</v>
          </cell>
          <cell r="H123">
            <v>26.286000000000001</v>
          </cell>
          <cell r="I123">
            <v>27.6</v>
          </cell>
          <cell r="J123">
            <v>28.981999999999999</v>
          </cell>
        </row>
        <row r="124">
          <cell r="A124" t="str">
            <v>08650C</v>
          </cell>
          <cell r="B124" t="str">
            <v>Real Est Investgtr Aide II-C</v>
          </cell>
          <cell r="C124" t="str">
            <v>CAF</v>
          </cell>
          <cell r="D124" t="str">
            <v>081</v>
          </cell>
          <cell r="F124">
            <v>28.324000000000002</v>
          </cell>
          <cell r="G124">
            <v>29.738</v>
          </cell>
          <cell r="H124">
            <v>31.225000000000001</v>
          </cell>
          <cell r="I124">
            <v>32.786999999999999</v>
          </cell>
          <cell r="J124">
            <v>34.424999999999997</v>
          </cell>
        </row>
        <row r="125">
          <cell r="A125" t="str">
            <v>08660C</v>
          </cell>
          <cell r="B125" t="str">
            <v>Real Est Investgtr I -C</v>
          </cell>
          <cell r="C125" t="str">
            <v>CAF</v>
          </cell>
          <cell r="D125" t="str">
            <v>089</v>
          </cell>
          <cell r="F125">
            <v>30.58</v>
          </cell>
          <cell r="G125">
            <v>32.109000000000002</v>
          </cell>
          <cell r="H125">
            <v>33.715000000000003</v>
          </cell>
          <cell r="I125">
            <v>35.402000000000001</v>
          </cell>
          <cell r="J125">
            <v>37.170999999999999</v>
          </cell>
        </row>
        <row r="126">
          <cell r="A126" t="str">
            <v>08670C</v>
          </cell>
          <cell r="B126" t="str">
            <v>Real Est Investgtr II-C</v>
          </cell>
          <cell r="C126" t="str">
            <v>CAF</v>
          </cell>
          <cell r="D126" t="str">
            <v>094</v>
          </cell>
          <cell r="F126">
            <v>35.066000000000003</v>
          </cell>
          <cell r="G126">
            <v>36.819000000000003</v>
          </cell>
          <cell r="H126">
            <v>38.661000000000001</v>
          </cell>
          <cell r="I126">
            <v>40.594000000000001</v>
          </cell>
          <cell r="J126">
            <v>42.622999999999998</v>
          </cell>
        </row>
        <row r="127">
          <cell r="A127" t="str">
            <v>52775C</v>
          </cell>
          <cell r="B127" t="str">
            <v>Real Estate Assistant-C</v>
          </cell>
          <cell r="C127" t="str">
            <v>CAF</v>
          </cell>
          <cell r="D127" t="str">
            <v>064</v>
          </cell>
          <cell r="F127">
            <v>30.58</v>
          </cell>
          <cell r="G127">
            <v>32.109000000000002</v>
          </cell>
          <cell r="H127">
            <v>33.715000000000003</v>
          </cell>
          <cell r="I127">
            <v>35.402000000000001</v>
          </cell>
          <cell r="J127">
            <v>37.170999999999999</v>
          </cell>
        </row>
        <row r="128">
          <cell r="A128" t="str">
            <v>52978C</v>
          </cell>
          <cell r="B128" t="str">
            <v>Security Specialist</v>
          </cell>
          <cell r="C128" t="str">
            <v>CAF</v>
          </cell>
          <cell r="D128" t="str">
            <v>132</v>
          </cell>
          <cell r="F128">
            <v>28.324000000000002</v>
          </cell>
          <cell r="G128">
            <v>29.738</v>
          </cell>
          <cell r="H128">
            <v>31.225000000000001</v>
          </cell>
          <cell r="I128">
            <v>32.787999999999997</v>
          </cell>
          <cell r="J128">
            <v>34.424999999999997</v>
          </cell>
        </row>
        <row r="129">
          <cell r="A129" t="str">
            <v>05277C</v>
          </cell>
          <cell r="B129" t="str">
            <v>Senior Graphic Designer - C</v>
          </cell>
          <cell r="C129" t="str">
            <v>CAF</v>
          </cell>
          <cell r="D129" t="str">
            <v>099</v>
          </cell>
          <cell r="F129">
            <v>34.450000000000003</v>
          </cell>
          <cell r="G129">
            <v>36.173000000000002</v>
          </cell>
          <cell r="H129">
            <v>37.981000000000002</v>
          </cell>
          <cell r="I129">
            <v>39.880000000000003</v>
          </cell>
          <cell r="J129">
            <v>41.875999999999998</v>
          </cell>
        </row>
        <row r="130">
          <cell r="A130" t="str">
            <v>09171C</v>
          </cell>
          <cell r="B130" t="str">
            <v>Senior Legal Support Spec-C</v>
          </cell>
          <cell r="C130" t="str">
            <v>CAF</v>
          </cell>
          <cell r="D130" t="str">
            <v>142</v>
          </cell>
          <cell r="F130">
            <v>29.445</v>
          </cell>
          <cell r="G130">
            <v>30.919</v>
          </cell>
          <cell r="H130">
            <v>32.463999999999999</v>
          </cell>
          <cell r="I130">
            <v>34.088000000000001</v>
          </cell>
          <cell r="J130">
            <v>35.790999999999997</v>
          </cell>
        </row>
        <row r="131">
          <cell r="A131" t="str">
            <v>52740C</v>
          </cell>
          <cell r="B131" t="str">
            <v>Senior Project Coordinator-C</v>
          </cell>
          <cell r="C131" t="str">
            <v>CAF</v>
          </cell>
          <cell r="D131" t="str">
            <v>118</v>
          </cell>
          <cell r="F131">
            <v>41.456000000000003</v>
          </cell>
          <cell r="G131">
            <v>43.529000000000003</v>
          </cell>
          <cell r="H131">
            <v>45.704999999999998</v>
          </cell>
          <cell r="I131">
            <v>47.991</v>
          </cell>
          <cell r="J131">
            <v>50.39</v>
          </cell>
        </row>
        <row r="132">
          <cell r="A132" t="str">
            <v>52996C</v>
          </cell>
          <cell r="B132" t="str">
            <v>Service Center Agent-C</v>
          </cell>
          <cell r="C132" t="str">
            <v>CAF</v>
          </cell>
          <cell r="D132" t="str">
            <v>140</v>
          </cell>
          <cell r="F132">
            <v>29.445</v>
          </cell>
          <cell r="G132">
            <v>30.919</v>
          </cell>
          <cell r="H132">
            <v>32.463999999999999</v>
          </cell>
          <cell r="I132">
            <v>34.088000000000001</v>
          </cell>
          <cell r="J132">
            <v>35.790999999999997</v>
          </cell>
        </row>
        <row r="133">
          <cell r="A133" t="str">
            <v>09280C</v>
          </cell>
          <cell r="B133" t="str">
            <v>Solid Waste Aide -C</v>
          </cell>
          <cell r="C133" t="str">
            <v>CAF</v>
          </cell>
          <cell r="D133" t="str">
            <v>144</v>
          </cell>
          <cell r="F133">
            <v>27.219000000000001</v>
          </cell>
          <cell r="G133">
            <v>28.579000000000001</v>
          </cell>
          <cell r="H133">
            <v>30.006</v>
          </cell>
          <cell r="I133">
            <v>31.509</v>
          </cell>
          <cell r="J133">
            <v>33.082999999999998</v>
          </cell>
        </row>
        <row r="134">
          <cell r="A134" t="str">
            <v>09285C</v>
          </cell>
          <cell r="B134" t="str">
            <v>Space Coordinator Prop Srvs-C</v>
          </cell>
          <cell r="C134" t="str">
            <v>CAF</v>
          </cell>
          <cell r="D134" t="str">
            <v>209</v>
          </cell>
          <cell r="F134">
            <v>35.066000000000003</v>
          </cell>
          <cell r="G134">
            <v>36.819000000000003</v>
          </cell>
          <cell r="H134">
            <v>38.661000000000001</v>
          </cell>
          <cell r="I134">
            <v>40.594000000000001</v>
          </cell>
          <cell r="J134">
            <v>42.622999999999998</v>
          </cell>
        </row>
        <row r="135">
          <cell r="A135" t="str">
            <v>52974C</v>
          </cell>
          <cell r="B135" t="str">
            <v>Special Service Distr Coord-C</v>
          </cell>
          <cell r="C135" t="str">
            <v>CAF</v>
          </cell>
          <cell r="D135" t="str">
            <v>095</v>
          </cell>
          <cell r="F135">
            <v>34.276000000000003</v>
          </cell>
          <cell r="G135">
            <v>35.988999999999997</v>
          </cell>
          <cell r="H135">
            <v>37.787999999999997</v>
          </cell>
          <cell r="I135">
            <v>39.677</v>
          </cell>
          <cell r="J135">
            <v>41.661999999999999</v>
          </cell>
        </row>
        <row r="136">
          <cell r="A136" t="str">
            <v>09350C</v>
          </cell>
          <cell r="B136" t="str">
            <v>Stock Clerk I-C</v>
          </cell>
          <cell r="C136" t="str">
            <v>CAF</v>
          </cell>
          <cell r="D136" t="str">
            <v>011</v>
          </cell>
          <cell r="F136">
            <v>19.117999999999999</v>
          </cell>
          <cell r="G136">
            <v>20.074999999999999</v>
          </cell>
          <cell r="H136">
            <v>21.079000000000001</v>
          </cell>
          <cell r="I136">
            <v>22.134</v>
          </cell>
          <cell r="J136">
            <v>23.241</v>
          </cell>
        </row>
        <row r="137">
          <cell r="A137" t="str">
            <v>09360C</v>
          </cell>
          <cell r="B137" t="str">
            <v>Stock Clerk II-C</v>
          </cell>
          <cell r="C137" t="str">
            <v>CAF</v>
          </cell>
          <cell r="D137" t="str">
            <v>040</v>
          </cell>
          <cell r="F137">
            <v>23.835999999999999</v>
          </cell>
          <cell r="G137">
            <v>25.027000000000001</v>
          </cell>
          <cell r="H137">
            <v>26.279</v>
          </cell>
          <cell r="I137">
            <v>27.593</v>
          </cell>
          <cell r="J137">
            <v>28.972999999999999</v>
          </cell>
        </row>
        <row r="138">
          <cell r="A138" t="str">
            <v>09420C</v>
          </cell>
          <cell r="B138" t="str">
            <v>Storekeeper -C</v>
          </cell>
          <cell r="C138" t="str">
            <v>CAF</v>
          </cell>
          <cell r="D138" t="str">
            <v>054</v>
          </cell>
          <cell r="F138">
            <v>27.216999999999999</v>
          </cell>
          <cell r="G138">
            <v>28.579000000000001</v>
          </cell>
          <cell r="H138">
            <v>30.006</v>
          </cell>
          <cell r="I138">
            <v>31.509</v>
          </cell>
          <cell r="J138">
            <v>33.082999999999998</v>
          </cell>
        </row>
        <row r="139">
          <cell r="A139" t="str">
            <v>10630C</v>
          </cell>
          <cell r="B139" t="str">
            <v>Traffic Systems Operator-C</v>
          </cell>
          <cell r="C139" t="str">
            <v>CAF</v>
          </cell>
          <cell r="D139" t="str">
            <v>083</v>
          </cell>
          <cell r="F139">
            <v>29.445</v>
          </cell>
          <cell r="G139">
            <v>30.919</v>
          </cell>
          <cell r="H139">
            <v>32.463999999999999</v>
          </cell>
          <cell r="I139">
            <v>34.088000000000001</v>
          </cell>
          <cell r="J139">
            <v>35.790999999999997</v>
          </cell>
        </row>
        <row r="140">
          <cell r="A140" t="str">
            <v>59415C</v>
          </cell>
          <cell r="B140" t="str">
            <v>Vendor Records Spec-C</v>
          </cell>
          <cell r="C140" t="str">
            <v>CAF</v>
          </cell>
          <cell r="D140" t="str">
            <v>056</v>
          </cell>
          <cell r="F140">
            <v>26.105</v>
          </cell>
          <cell r="G140">
            <v>27.413</v>
          </cell>
          <cell r="H140">
            <v>28.780999999999999</v>
          </cell>
          <cell r="I140">
            <v>30.221</v>
          </cell>
          <cell r="J140">
            <v>31.731999999999999</v>
          </cell>
        </row>
        <row r="141">
          <cell r="A141" t="str">
            <v>10796C</v>
          </cell>
          <cell r="B141" t="str">
            <v>Veterinary Care Technician - C</v>
          </cell>
          <cell r="C141" t="str">
            <v>CAF</v>
          </cell>
          <cell r="D141" t="str">
            <v>161</v>
          </cell>
          <cell r="F141">
            <v>28.324000000000002</v>
          </cell>
          <cell r="G141">
            <v>29.738</v>
          </cell>
          <cell r="H141">
            <v>31.225000000000001</v>
          </cell>
          <cell r="I141">
            <v>32.786999999999999</v>
          </cell>
          <cell r="J141">
            <v>34.424999999999997</v>
          </cell>
        </row>
        <row r="142">
          <cell r="A142" t="str">
            <v>52956C</v>
          </cell>
          <cell r="B142" t="str">
            <v>Visual Communication Mgmt Coor</v>
          </cell>
          <cell r="C142" t="str">
            <v>CAF</v>
          </cell>
          <cell r="D142" t="str">
            <v>164</v>
          </cell>
          <cell r="F142">
            <v>36.542999999999999</v>
          </cell>
          <cell r="G142">
            <v>38.369</v>
          </cell>
          <cell r="H142">
            <v>40.287999999999997</v>
          </cell>
          <cell r="I142">
            <v>42.302</v>
          </cell>
          <cell r="J142">
            <v>44.417000000000002</v>
          </cell>
        </row>
        <row r="143">
          <cell r="A143" t="str">
            <v>10902C</v>
          </cell>
          <cell r="B143" t="str">
            <v>Water Quality Technician</v>
          </cell>
          <cell r="C143" t="str">
            <v>CAF</v>
          </cell>
          <cell r="D143" t="str">
            <v>163</v>
          </cell>
          <cell r="F143">
            <v>29.445</v>
          </cell>
          <cell r="G143">
            <v>30.919</v>
          </cell>
          <cell r="H143">
            <v>32.463999999999999</v>
          </cell>
          <cell r="I143">
            <v>34.088000000000001</v>
          </cell>
          <cell r="J143">
            <v>35.790999999999997</v>
          </cell>
        </row>
        <row r="144">
          <cell r="A144" t="str">
            <v>53035C</v>
          </cell>
          <cell r="B144" t="str">
            <v>311 Service Center Dir-C</v>
          </cell>
          <cell r="C144" t="str">
            <v>CAP</v>
          </cell>
          <cell r="D144" t="str">
            <v>170</v>
          </cell>
          <cell r="F144">
            <v>69.796999999999997</v>
          </cell>
          <cell r="G144">
            <v>73.47</v>
          </cell>
          <cell r="H144">
            <v>74.938999999999993</v>
          </cell>
          <cell r="I144">
            <v>76.438000000000002</v>
          </cell>
          <cell r="J144">
            <v>77.966999999999999</v>
          </cell>
        </row>
        <row r="145">
          <cell r="A145" t="str">
            <v>C00100</v>
          </cell>
          <cell r="B145" t="str">
            <v>Access &amp; Outreach Mgr APPT - C</v>
          </cell>
          <cell r="C145" t="str">
            <v>CAP</v>
          </cell>
          <cell r="D145" t="str">
            <v>17</v>
          </cell>
          <cell r="F145">
            <v>51.639000000000003</v>
          </cell>
          <cell r="G145">
            <v>54.356999999999999</v>
          </cell>
          <cell r="H145">
            <v>55.445</v>
          </cell>
          <cell r="I145">
            <v>56.554000000000002</v>
          </cell>
          <cell r="J145">
            <v>57.686</v>
          </cell>
        </row>
        <row r="146">
          <cell r="A146" t="str">
            <v>C03019</v>
          </cell>
          <cell r="B146" t="str">
            <v>Animal Care &amp; Control Dir-C</v>
          </cell>
          <cell r="C146" t="str">
            <v>CAP</v>
          </cell>
          <cell r="D146" t="str">
            <v>013</v>
          </cell>
          <cell r="F146">
            <v>61.921999999999997</v>
          </cell>
          <cell r="G146">
            <v>65.180999999999997</v>
          </cell>
          <cell r="H146">
            <v>66.484999999999999</v>
          </cell>
          <cell r="I146">
            <v>67.814999999999998</v>
          </cell>
          <cell r="J146">
            <v>69.171000000000006</v>
          </cell>
        </row>
        <row r="147">
          <cell r="A147" t="str">
            <v>53082C</v>
          </cell>
          <cell r="B147" t="str">
            <v>Assoc Dir Neighborhood Sfty-C</v>
          </cell>
          <cell r="C147" t="str">
            <v>CAP</v>
          </cell>
          <cell r="D147" t="str">
            <v>26</v>
          </cell>
          <cell r="F147">
            <v>53.567</v>
          </cell>
          <cell r="G147">
            <v>56.387999999999998</v>
          </cell>
          <cell r="H147">
            <v>57.514000000000003</v>
          </cell>
          <cell r="I147">
            <v>58.664999999999999</v>
          </cell>
          <cell r="J147">
            <v>59.838999999999999</v>
          </cell>
        </row>
        <row r="148">
          <cell r="A148" t="str">
            <v>C00590</v>
          </cell>
          <cell r="B148" t="str">
            <v>Asst Chief Fire Dept-C</v>
          </cell>
          <cell r="C148" t="str">
            <v>CAP</v>
          </cell>
          <cell r="D148" t="str">
            <v>116</v>
          </cell>
          <cell r="F148">
            <v>73.061999999999998</v>
          </cell>
          <cell r="G148">
            <v>76.906999999999996</v>
          </cell>
          <cell r="H148">
            <v>78.444999999999993</v>
          </cell>
          <cell r="I148">
            <v>80.015000000000001</v>
          </cell>
          <cell r="J148">
            <v>81.614999999999995</v>
          </cell>
        </row>
        <row r="149">
          <cell r="A149" t="str">
            <v>C00680</v>
          </cell>
          <cell r="B149" t="str">
            <v>Asst City Clerk-C</v>
          </cell>
          <cell r="C149" t="str">
            <v>CAP</v>
          </cell>
          <cell r="D149" t="str">
            <v>162</v>
          </cell>
          <cell r="F149">
            <v>60.53</v>
          </cell>
          <cell r="G149">
            <v>63.716000000000001</v>
          </cell>
          <cell r="H149">
            <v>64.989999999999995</v>
          </cell>
          <cell r="I149">
            <v>66.290000000000006</v>
          </cell>
          <cell r="J149">
            <v>67.616</v>
          </cell>
        </row>
        <row r="150">
          <cell r="A150" t="str">
            <v>C00730</v>
          </cell>
          <cell r="B150" t="str">
            <v>Asst Dir Emergency ComTechn-C</v>
          </cell>
          <cell r="C150" t="str">
            <v>CAP</v>
          </cell>
          <cell r="D150" t="str">
            <v>32</v>
          </cell>
          <cell r="F150">
            <v>60.53</v>
          </cell>
          <cell r="G150">
            <v>63.716000000000001</v>
          </cell>
          <cell r="H150">
            <v>64.989999999999995</v>
          </cell>
          <cell r="I150">
            <v>66.290000000000006</v>
          </cell>
          <cell r="J150">
            <v>67.616</v>
          </cell>
        </row>
        <row r="151">
          <cell r="A151" t="str">
            <v>C00765</v>
          </cell>
          <cell r="B151" t="str">
            <v>Asst Dir Water Trmnt &amp; Distr-C</v>
          </cell>
          <cell r="C151" t="str">
            <v>CAP</v>
          </cell>
          <cell r="D151" t="str">
            <v>151</v>
          </cell>
          <cell r="F151">
            <v>71.777000000000001</v>
          </cell>
          <cell r="G151">
            <v>75.555000000000007</v>
          </cell>
          <cell r="H151">
            <v>77.066000000000003</v>
          </cell>
          <cell r="I151">
            <v>78.606999999999999</v>
          </cell>
          <cell r="J151">
            <v>80.179000000000002</v>
          </cell>
        </row>
        <row r="152">
          <cell r="A152" t="str">
            <v>C00550</v>
          </cell>
          <cell r="B152" t="str">
            <v>Asst Director Purchasing - C</v>
          </cell>
          <cell r="C152" t="str">
            <v>CAP</v>
          </cell>
          <cell r="D152" t="str">
            <v>141</v>
          </cell>
          <cell r="F152">
            <v>55.923999999999999</v>
          </cell>
          <cell r="G152">
            <v>58.866999999999997</v>
          </cell>
          <cell r="H152">
            <v>60.045000000000002</v>
          </cell>
          <cell r="I152">
            <v>61.246000000000002</v>
          </cell>
          <cell r="J152">
            <v>62.472000000000001</v>
          </cell>
        </row>
        <row r="153">
          <cell r="A153" t="str">
            <v>C00860</v>
          </cell>
          <cell r="B153" t="str">
            <v>Asst Director Treasury-C</v>
          </cell>
          <cell r="C153" t="str">
            <v>CAP</v>
          </cell>
          <cell r="D153" t="str">
            <v>82</v>
          </cell>
          <cell r="F153">
            <v>57.853000000000002</v>
          </cell>
          <cell r="G153">
            <v>60.898000000000003</v>
          </cell>
          <cell r="H153">
            <v>62.115000000000002</v>
          </cell>
          <cell r="I153">
            <v>63.357999999999997</v>
          </cell>
          <cell r="J153">
            <v>64.625</v>
          </cell>
        </row>
        <row r="154">
          <cell r="A154" t="str">
            <v>C01457</v>
          </cell>
          <cell r="B154" t="str">
            <v>Business Services Manager-C</v>
          </cell>
          <cell r="C154" t="str">
            <v>CAP</v>
          </cell>
          <cell r="D154" t="str">
            <v>19A</v>
          </cell>
          <cell r="F154">
            <v>48.747999999999998</v>
          </cell>
          <cell r="G154">
            <v>51.314</v>
          </cell>
          <cell r="H154">
            <v>52.338999999999999</v>
          </cell>
          <cell r="I154">
            <v>53.387</v>
          </cell>
          <cell r="J154">
            <v>54.454000000000001</v>
          </cell>
        </row>
        <row r="155">
          <cell r="A155" t="str">
            <v>C01700</v>
          </cell>
          <cell r="B155" t="str">
            <v>Chief Appraiser - C</v>
          </cell>
          <cell r="C155" t="str">
            <v>CAP</v>
          </cell>
          <cell r="D155" t="str">
            <v>05</v>
          </cell>
          <cell r="F155">
            <v>57.103000000000002</v>
          </cell>
          <cell r="G155">
            <v>60.107999999999997</v>
          </cell>
          <cell r="H155">
            <v>61.31</v>
          </cell>
          <cell r="I155">
            <v>62.536000000000001</v>
          </cell>
          <cell r="J155">
            <v>63.786999999999999</v>
          </cell>
        </row>
        <row r="156">
          <cell r="A156" t="str">
            <v>C04330</v>
          </cell>
          <cell r="B156" t="str">
            <v>Chief Financial Officer</v>
          </cell>
          <cell r="C156" t="str">
            <v>CAP</v>
          </cell>
          <cell r="D156" t="str">
            <v>183</v>
          </cell>
          <cell r="F156">
            <v>92.512</v>
          </cell>
          <cell r="G156">
            <v>97.381</v>
          </cell>
          <cell r="H156">
            <v>99.328000000000003</v>
          </cell>
          <cell r="I156">
            <v>101.315</v>
          </cell>
          <cell r="J156">
            <v>103.34099999999999</v>
          </cell>
        </row>
        <row r="157">
          <cell r="A157" t="str">
            <v>C03340</v>
          </cell>
          <cell r="B157" t="str">
            <v>Chief Human Resources Officer</v>
          </cell>
          <cell r="C157" t="str">
            <v>CAP</v>
          </cell>
          <cell r="D157" t="str">
            <v>184</v>
          </cell>
          <cell r="F157">
            <v>86.772999999999996</v>
          </cell>
          <cell r="G157">
            <v>91.34</v>
          </cell>
          <cell r="H157">
            <v>93.168000000000006</v>
          </cell>
          <cell r="I157">
            <v>95.028999999999996</v>
          </cell>
          <cell r="J157">
            <v>96.930999999999997</v>
          </cell>
        </row>
        <row r="158">
          <cell r="A158" t="str">
            <v>C01690</v>
          </cell>
          <cell r="B158" t="str">
            <v>Chief Information Officer</v>
          </cell>
          <cell r="C158" t="str">
            <v>CAP</v>
          </cell>
          <cell r="D158" t="str">
            <v>58</v>
          </cell>
          <cell r="F158">
            <v>89.528999999999996</v>
          </cell>
          <cell r="G158">
            <v>94.242000000000004</v>
          </cell>
          <cell r="H158">
            <v>96.126000000000005</v>
          </cell>
          <cell r="I158">
            <v>98.048000000000002</v>
          </cell>
          <cell r="J158">
            <v>100.009</v>
          </cell>
        </row>
        <row r="159">
          <cell r="A159" t="str">
            <v>52920C</v>
          </cell>
          <cell r="B159" t="str">
            <v>Chief of Staff MPD</v>
          </cell>
          <cell r="C159" t="str">
            <v>CAP</v>
          </cell>
          <cell r="D159" t="str">
            <v>182</v>
          </cell>
          <cell r="F159">
            <v>80.063999999999993</v>
          </cell>
          <cell r="G159">
            <v>84.278000000000006</v>
          </cell>
          <cell r="H159">
            <v>85.962999999999994</v>
          </cell>
          <cell r="I159">
            <v>87.682000000000002</v>
          </cell>
          <cell r="J159">
            <v>89.436000000000007</v>
          </cell>
        </row>
        <row r="160">
          <cell r="A160" t="str">
            <v>C01740</v>
          </cell>
          <cell r="B160" t="str">
            <v>Chief Resiliency Officer - C</v>
          </cell>
          <cell r="C160" t="str">
            <v>CAP</v>
          </cell>
          <cell r="D160" t="str">
            <v>140</v>
          </cell>
          <cell r="F160">
            <v>65.028999999999996</v>
          </cell>
          <cell r="G160">
            <v>68.450999999999993</v>
          </cell>
          <cell r="H160">
            <v>69.819999999999993</v>
          </cell>
          <cell r="I160">
            <v>71.216999999999999</v>
          </cell>
          <cell r="J160">
            <v>72.641999999999996</v>
          </cell>
        </row>
        <row r="161">
          <cell r="A161" t="str">
            <v>C01830</v>
          </cell>
          <cell r="B161" t="str">
            <v>City Assessor-C</v>
          </cell>
          <cell r="C161" t="str">
            <v>CAP</v>
          </cell>
          <cell r="D161" t="str">
            <v>125</v>
          </cell>
          <cell r="F161">
            <v>75.203999999999994</v>
          </cell>
          <cell r="G161">
            <v>79.162000000000006</v>
          </cell>
          <cell r="H161">
            <v>80.745999999999995</v>
          </cell>
          <cell r="I161">
            <v>82.361000000000004</v>
          </cell>
          <cell r="J161">
            <v>84.007000000000005</v>
          </cell>
        </row>
        <row r="162">
          <cell r="A162" t="str">
            <v>C01840</v>
          </cell>
          <cell r="B162" t="str">
            <v>City Attorney-C</v>
          </cell>
          <cell r="C162" t="str">
            <v>CAP</v>
          </cell>
          <cell r="D162" t="str">
            <v>203</v>
          </cell>
          <cell r="F162">
            <v>96.832999999999998</v>
          </cell>
          <cell r="G162">
            <v>101.93</v>
          </cell>
          <cell r="H162">
            <v>103.968</v>
          </cell>
          <cell r="I162">
            <v>106.048</v>
          </cell>
          <cell r="J162">
            <v>108.169</v>
          </cell>
        </row>
        <row r="163">
          <cell r="A163" t="str">
            <v>59436C</v>
          </cell>
          <cell r="B163" t="str">
            <v>City Auditor-C</v>
          </cell>
          <cell r="C163" t="str">
            <v>CAP</v>
          </cell>
          <cell r="D163" t="str">
            <v>159</v>
          </cell>
          <cell r="F163">
            <v>85.783000000000001</v>
          </cell>
          <cell r="G163">
            <v>90.298000000000002</v>
          </cell>
          <cell r="H163">
            <v>92.103999999999999</v>
          </cell>
          <cell r="I163">
            <v>93.945999999999998</v>
          </cell>
          <cell r="J163">
            <v>95.825000000000003</v>
          </cell>
        </row>
        <row r="164">
          <cell r="A164" t="str">
            <v>C01851</v>
          </cell>
          <cell r="B164" t="str">
            <v>City Clerk - C</v>
          </cell>
          <cell r="C164" t="str">
            <v>CAP</v>
          </cell>
          <cell r="D164" t="str">
            <v>202</v>
          </cell>
          <cell r="F164">
            <v>85.783000000000001</v>
          </cell>
          <cell r="G164">
            <v>90.298000000000002</v>
          </cell>
          <cell r="H164">
            <v>92.103999999999999</v>
          </cell>
          <cell r="I164">
            <v>93.947000000000003</v>
          </cell>
          <cell r="J164">
            <v>95.825000000000003</v>
          </cell>
        </row>
        <row r="165">
          <cell r="A165" t="str">
            <v>C01860</v>
          </cell>
          <cell r="B165" t="str">
            <v>City Coordinator-C</v>
          </cell>
          <cell r="C165" t="str">
            <v>CAP</v>
          </cell>
          <cell r="D165" t="str">
            <v>73</v>
          </cell>
          <cell r="F165">
            <v>94.483999999999995</v>
          </cell>
          <cell r="G165">
            <v>99.456000000000003</v>
          </cell>
          <cell r="H165">
            <v>101.446</v>
          </cell>
          <cell r="I165">
            <v>103.474</v>
          </cell>
          <cell r="J165">
            <v>105.544</v>
          </cell>
        </row>
        <row r="166">
          <cell r="A166" t="str">
            <v>53031C</v>
          </cell>
          <cell r="B166" t="str">
            <v>City Operations Officer-C</v>
          </cell>
          <cell r="C166" t="str">
            <v>CAP</v>
          </cell>
          <cell r="D166" t="str">
            <v>192</v>
          </cell>
          <cell r="F166">
            <v>140.054</v>
          </cell>
          <cell r="G166">
            <v>147.42500000000001</v>
          </cell>
          <cell r="H166">
            <v>150.374</v>
          </cell>
          <cell r="I166">
            <v>153.38200000000001</v>
          </cell>
          <cell r="J166">
            <v>156.44900000000001</v>
          </cell>
        </row>
        <row r="167">
          <cell r="A167" t="str">
            <v>C02250</v>
          </cell>
          <cell r="B167" t="str">
            <v>Commissioner of Health-C</v>
          </cell>
          <cell r="C167" t="str">
            <v>CAP</v>
          </cell>
          <cell r="D167" t="str">
            <v>67</v>
          </cell>
          <cell r="F167">
            <v>81.094999999999999</v>
          </cell>
          <cell r="G167">
            <v>85.364000000000004</v>
          </cell>
          <cell r="H167">
            <v>87.070999999999998</v>
          </cell>
          <cell r="I167">
            <v>88.813000000000002</v>
          </cell>
          <cell r="J167">
            <v>90.587999999999994</v>
          </cell>
        </row>
        <row r="168">
          <cell r="A168" t="str">
            <v>52910C</v>
          </cell>
          <cell r="B168" t="str">
            <v>Communication Dir-Cmmty Sfty-C</v>
          </cell>
          <cell r="C168" t="str">
            <v>CAP</v>
          </cell>
          <cell r="D168" t="str">
            <v>32</v>
          </cell>
          <cell r="F168">
            <v>60.53</v>
          </cell>
          <cell r="G168">
            <v>63.716000000000001</v>
          </cell>
          <cell r="H168">
            <v>64.989999999999995</v>
          </cell>
          <cell r="I168">
            <v>66.290000000000006</v>
          </cell>
          <cell r="J168">
            <v>67.616</v>
          </cell>
        </row>
        <row r="169">
          <cell r="A169" t="str">
            <v>59437C</v>
          </cell>
          <cell r="B169" t="str">
            <v>Community Safety Chief Staff-C</v>
          </cell>
          <cell r="C169" t="str">
            <v>CAP</v>
          </cell>
          <cell r="D169" t="str">
            <v>164</v>
          </cell>
          <cell r="F169">
            <v>74.025999999999996</v>
          </cell>
          <cell r="G169">
            <v>77.921999999999997</v>
          </cell>
          <cell r="H169">
            <v>79.480999999999995</v>
          </cell>
          <cell r="I169">
            <v>81.069999999999993</v>
          </cell>
          <cell r="J169">
            <v>82.691999999999993</v>
          </cell>
        </row>
        <row r="170">
          <cell r="A170" t="str">
            <v>53030C</v>
          </cell>
          <cell r="B170" t="str">
            <v>Community Safety Commssnr-C</v>
          </cell>
          <cell r="C170" t="str">
            <v>CAP</v>
          </cell>
          <cell r="D170" t="str">
            <v>191</v>
          </cell>
          <cell r="F170">
            <v>153.184</v>
          </cell>
          <cell r="G170">
            <v>161.24600000000001</v>
          </cell>
          <cell r="H170">
            <v>164.47200000000001</v>
          </cell>
          <cell r="I170">
            <v>167.761</v>
          </cell>
          <cell r="J170">
            <v>171.11600000000001</v>
          </cell>
        </row>
        <row r="171">
          <cell r="A171" t="str">
            <v>C02600</v>
          </cell>
          <cell r="B171" t="str">
            <v>Controller-C</v>
          </cell>
          <cell r="C171" t="str">
            <v>CAP</v>
          </cell>
          <cell r="D171" t="str">
            <v>122</v>
          </cell>
          <cell r="F171">
            <v>67.706000000000003</v>
          </cell>
          <cell r="G171">
            <v>71.27</v>
          </cell>
          <cell r="H171">
            <v>72.694999999999993</v>
          </cell>
          <cell r="I171">
            <v>74.149000000000001</v>
          </cell>
          <cell r="J171">
            <v>75.632000000000005</v>
          </cell>
        </row>
        <row r="172">
          <cell r="A172" t="str">
            <v>C03255</v>
          </cell>
          <cell r="B172" t="str">
            <v>Dep Comm Hlth Sust Hlthy Hms-C</v>
          </cell>
          <cell r="C172" t="str">
            <v>CAP</v>
          </cell>
          <cell r="D172" t="str">
            <v>158</v>
          </cell>
          <cell r="F172">
            <v>69.796999999999997</v>
          </cell>
          <cell r="G172">
            <v>73.47</v>
          </cell>
          <cell r="H172">
            <v>74.938999999999993</v>
          </cell>
          <cell r="I172">
            <v>76.438000000000002</v>
          </cell>
          <cell r="J172">
            <v>77.966999999999999</v>
          </cell>
        </row>
        <row r="173">
          <cell r="A173" t="str">
            <v>59450C</v>
          </cell>
          <cell r="B173" t="str">
            <v>Dep Dir Elect &amp; Voting Svcs-C</v>
          </cell>
          <cell r="C173" t="str">
            <v>CAP</v>
          </cell>
          <cell r="D173" t="str">
            <v>171</v>
          </cell>
          <cell r="F173">
            <v>48.747999999999998</v>
          </cell>
          <cell r="G173">
            <v>51.314</v>
          </cell>
          <cell r="H173">
            <v>52.34</v>
          </cell>
          <cell r="I173">
            <v>53.386000000000003</v>
          </cell>
          <cell r="J173">
            <v>54.454000000000001</v>
          </cell>
        </row>
        <row r="174">
          <cell r="A174" t="str">
            <v>C03017</v>
          </cell>
          <cell r="B174" t="str">
            <v>Dep Dir Fire Insp Services - C</v>
          </cell>
          <cell r="C174" t="str">
            <v>CAP</v>
          </cell>
          <cell r="D174" t="str">
            <v>08</v>
          </cell>
          <cell r="F174">
            <v>51.781999999999996</v>
          </cell>
          <cell r="G174">
            <v>54.508000000000003</v>
          </cell>
          <cell r="H174">
            <v>55.597999999999999</v>
          </cell>
          <cell r="I174">
            <v>56.71</v>
          </cell>
          <cell r="J174">
            <v>57.844000000000001</v>
          </cell>
        </row>
        <row r="175">
          <cell r="A175" t="str">
            <v>C03026</v>
          </cell>
          <cell r="B175" t="str">
            <v>Dep Dir Information Techn -C</v>
          </cell>
          <cell r="C175" t="str">
            <v>CAP</v>
          </cell>
          <cell r="D175" t="str">
            <v>04</v>
          </cell>
          <cell r="F175">
            <v>70.588999999999999</v>
          </cell>
          <cell r="G175">
            <v>74.305000000000007</v>
          </cell>
          <cell r="H175">
            <v>75.792000000000002</v>
          </cell>
          <cell r="I175">
            <v>77.307000000000002</v>
          </cell>
          <cell r="J175">
            <v>78.852999999999994</v>
          </cell>
        </row>
        <row r="176">
          <cell r="A176" t="str">
            <v>C03024</v>
          </cell>
          <cell r="B176" t="str">
            <v>Dep Dir IT Info Security Appt</v>
          </cell>
          <cell r="C176" t="str">
            <v>CAP</v>
          </cell>
          <cell r="D176" t="str">
            <v>04</v>
          </cell>
          <cell r="F176">
            <v>70.588999999999999</v>
          </cell>
          <cell r="G176">
            <v>74.305000000000007</v>
          </cell>
          <cell r="H176">
            <v>75.792000000000002</v>
          </cell>
          <cell r="I176">
            <v>77.307000000000002</v>
          </cell>
          <cell r="J176">
            <v>78.852999999999994</v>
          </cell>
        </row>
        <row r="177">
          <cell r="A177" t="str">
            <v>59490C</v>
          </cell>
          <cell r="B177" t="str">
            <v>Depty Comm Pub Hlth Init Ops-C</v>
          </cell>
          <cell r="C177" t="str">
            <v>CAP</v>
          </cell>
          <cell r="D177" t="str">
            <v>104</v>
          </cell>
          <cell r="F177">
            <v>73.918999999999997</v>
          </cell>
          <cell r="G177">
            <v>77.808999999999997</v>
          </cell>
          <cell r="H177">
            <v>79.366</v>
          </cell>
          <cell r="I177">
            <v>80.953000000000003</v>
          </cell>
          <cell r="J177">
            <v>82.572999999999993</v>
          </cell>
        </row>
        <row r="178">
          <cell r="A178" t="str">
            <v>59466C</v>
          </cell>
          <cell r="B178" t="str">
            <v>Depty Dir Perf Mgmt &amp; Innov-C</v>
          </cell>
          <cell r="C178" t="str">
            <v>CAP</v>
          </cell>
          <cell r="D178" t="str">
            <v>153</v>
          </cell>
          <cell r="F178">
            <v>56.996000000000002</v>
          </cell>
          <cell r="G178">
            <v>59.994999999999997</v>
          </cell>
          <cell r="H178">
            <v>61.195999999999998</v>
          </cell>
          <cell r="I178">
            <v>62.418999999999997</v>
          </cell>
          <cell r="J178">
            <v>63.667000000000002</v>
          </cell>
        </row>
        <row r="179">
          <cell r="A179" t="str">
            <v>C03045</v>
          </cell>
          <cell r="B179" t="str">
            <v>Deputy Chief Financial Officer</v>
          </cell>
          <cell r="C179" t="str">
            <v>CAP</v>
          </cell>
          <cell r="D179" t="str">
            <v>125</v>
          </cell>
          <cell r="F179">
            <v>75.203999999999994</v>
          </cell>
          <cell r="G179">
            <v>79.162000000000006</v>
          </cell>
          <cell r="H179">
            <v>80.745999999999995</v>
          </cell>
          <cell r="I179">
            <v>82.361000000000004</v>
          </cell>
          <cell r="J179">
            <v>84.007000000000005</v>
          </cell>
        </row>
        <row r="180">
          <cell r="A180" t="str">
            <v>53074C</v>
          </cell>
          <cell r="B180" t="str">
            <v>Deputy City Attorney-C</v>
          </cell>
          <cell r="C180" t="str">
            <v>CAP</v>
          </cell>
          <cell r="D180" t="str">
            <v>197</v>
          </cell>
          <cell r="F180">
            <v>85.168999999999997</v>
          </cell>
          <cell r="G180">
            <v>89.653000000000006</v>
          </cell>
          <cell r="H180">
            <v>91.445999999999998</v>
          </cell>
          <cell r="I180">
            <v>93.274000000000001</v>
          </cell>
          <cell r="J180">
            <v>95.138000000000005</v>
          </cell>
        </row>
        <row r="181">
          <cell r="A181" t="str">
            <v>53041C</v>
          </cell>
          <cell r="B181" t="str">
            <v>Deputy City Ops Officer-C</v>
          </cell>
          <cell r="C181" t="str">
            <v>CAP</v>
          </cell>
          <cell r="D181" t="str">
            <v>172</v>
          </cell>
          <cell r="F181">
            <v>85.915000000000006</v>
          </cell>
          <cell r="G181">
            <v>90.436999999999998</v>
          </cell>
          <cell r="H181">
            <v>92.245999999999995</v>
          </cell>
          <cell r="I181">
            <v>94.090999999999994</v>
          </cell>
          <cell r="J181">
            <v>95.972999999999999</v>
          </cell>
        </row>
        <row r="182">
          <cell r="A182" t="str">
            <v>C03023</v>
          </cell>
          <cell r="B182" t="str">
            <v>Deputy Dir Communications-C</v>
          </cell>
          <cell r="C182" t="str">
            <v>CAP</v>
          </cell>
          <cell r="D182" t="str">
            <v>03</v>
          </cell>
          <cell r="F182">
            <v>57.530999999999999</v>
          </cell>
          <cell r="G182">
            <v>60.56</v>
          </cell>
          <cell r="H182">
            <v>61.77</v>
          </cell>
          <cell r="I182">
            <v>63.005000000000003</v>
          </cell>
          <cell r="J182">
            <v>64.266000000000005</v>
          </cell>
        </row>
        <row r="183">
          <cell r="A183" t="str">
            <v>53081C</v>
          </cell>
          <cell r="B183" t="str">
            <v>Deputy Dir Neighborhood Sfty-C</v>
          </cell>
          <cell r="C183" t="str">
            <v>CAP</v>
          </cell>
          <cell r="D183" t="str">
            <v>35</v>
          </cell>
          <cell r="F183">
            <v>58.066000000000003</v>
          </cell>
          <cell r="G183">
            <v>61.122999999999998</v>
          </cell>
          <cell r="H183">
            <v>62.344999999999999</v>
          </cell>
          <cell r="I183">
            <v>63.591999999999999</v>
          </cell>
          <cell r="J183">
            <v>64.864000000000004</v>
          </cell>
        </row>
        <row r="184">
          <cell r="A184" t="str">
            <v>C03300</v>
          </cell>
          <cell r="B184" t="str">
            <v>Deputy Director CIO</v>
          </cell>
          <cell r="C184" t="str">
            <v>CAP</v>
          </cell>
          <cell r="D184" t="str">
            <v>152</v>
          </cell>
          <cell r="F184">
            <v>83.602999999999994</v>
          </cell>
          <cell r="G184">
            <v>88.003</v>
          </cell>
          <cell r="H184">
            <v>89.763999999999996</v>
          </cell>
          <cell r="I184">
            <v>91.558999999999997</v>
          </cell>
          <cell r="J184">
            <v>93.39</v>
          </cell>
        </row>
        <row r="185">
          <cell r="A185" t="str">
            <v>C52250</v>
          </cell>
          <cell r="B185" t="str">
            <v>Deputy Director CPED-C</v>
          </cell>
          <cell r="C185" t="str">
            <v>CAP</v>
          </cell>
          <cell r="D185" t="str">
            <v>88</v>
          </cell>
          <cell r="F185">
            <v>83.558999999999997</v>
          </cell>
          <cell r="G185">
            <v>87.956999999999994</v>
          </cell>
          <cell r="H185">
            <v>89.715999999999994</v>
          </cell>
          <cell r="I185">
            <v>91.51</v>
          </cell>
          <cell r="J185">
            <v>93.34</v>
          </cell>
        </row>
        <row r="186">
          <cell r="A186" t="str">
            <v>C03028</v>
          </cell>
          <cell r="B186" t="str">
            <v>Deputy Director IGR - C</v>
          </cell>
          <cell r="C186" t="str">
            <v>CAP</v>
          </cell>
          <cell r="D186" t="str">
            <v>43</v>
          </cell>
          <cell r="F186">
            <v>61.066000000000003</v>
          </cell>
          <cell r="G186">
            <v>64.28</v>
          </cell>
          <cell r="H186">
            <v>65.564999999999998</v>
          </cell>
          <cell r="I186">
            <v>66.876000000000005</v>
          </cell>
          <cell r="J186">
            <v>68.215000000000003</v>
          </cell>
        </row>
        <row r="187">
          <cell r="A187" t="str">
            <v>C03036</v>
          </cell>
          <cell r="B187" t="str">
            <v>Deputy Director NCR - C</v>
          </cell>
          <cell r="C187" t="str">
            <v>CAP</v>
          </cell>
          <cell r="D187" t="str">
            <v>80</v>
          </cell>
          <cell r="F187">
            <v>56.78</v>
          </cell>
          <cell r="G187">
            <v>59.77</v>
          </cell>
          <cell r="H187">
            <v>60.963999999999999</v>
          </cell>
          <cell r="I187">
            <v>62.183999999999997</v>
          </cell>
          <cell r="J187">
            <v>63.429000000000002</v>
          </cell>
        </row>
        <row r="188">
          <cell r="A188" t="str">
            <v>C03040</v>
          </cell>
          <cell r="B188" t="str">
            <v>Deputy Director Public Works</v>
          </cell>
          <cell r="C188" t="str">
            <v>CAP</v>
          </cell>
          <cell r="D188" t="str">
            <v>74</v>
          </cell>
          <cell r="F188">
            <v>86.450999999999993</v>
          </cell>
          <cell r="G188">
            <v>91.001000000000005</v>
          </cell>
          <cell r="H188">
            <v>92.820999999999998</v>
          </cell>
          <cell r="I188">
            <v>94.677000000000007</v>
          </cell>
          <cell r="J188">
            <v>96.570999999999998</v>
          </cell>
        </row>
        <row r="189">
          <cell r="A189" t="str">
            <v>C03016</v>
          </cell>
          <cell r="B189" t="str">
            <v>Deputy Health Commissioner</v>
          </cell>
          <cell r="C189" t="str">
            <v>CAP</v>
          </cell>
          <cell r="D189" t="str">
            <v>12</v>
          </cell>
          <cell r="F189">
            <v>61.814999999999998</v>
          </cell>
          <cell r="G189">
            <v>65.069000000000003</v>
          </cell>
          <cell r="H189">
            <v>66.37</v>
          </cell>
          <cell r="I189">
            <v>67.697000000000003</v>
          </cell>
          <cell r="J189">
            <v>69.051000000000002</v>
          </cell>
        </row>
        <row r="190">
          <cell r="A190" t="str">
            <v>C03015</v>
          </cell>
          <cell r="B190" t="str">
            <v>Deputy Operations Officer</v>
          </cell>
          <cell r="C190" t="str">
            <v>CAP</v>
          </cell>
          <cell r="D190" t="str">
            <v>67</v>
          </cell>
          <cell r="F190">
            <v>81.094999999999999</v>
          </cell>
          <cell r="G190">
            <v>85.364000000000004</v>
          </cell>
          <cell r="H190">
            <v>87.070999999999998</v>
          </cell>
          <cell r="I190">
            <v>88.813000000000002</v>
          </cell>
          <cell r="J190">
            <v>90.587999999999994</v>
          </cell>
        </row>
        <row r="191">
          <cell r="A191" t="str">
            <v>53054C</v>
          </cell>
          <cell r="B191" t="str">
            <v>Deputy Police Chief-C</v>
          </cell>
          <cell r="C191" t="str">
            <v>CAP</v>
          </cell>
          <cell r="D191" t="str">
            <v>62</v>
          </cell>
          <cell r="F191">
            <v>77.132000000000005</v>
          </cell>
          <cell r="G191">
            <v>81.191999999999993</v>
          </cell>
          <cell r="H191">
            <v>82.816999999999993</v>
          </cell>
          <cell r="I191">
            <v>84.471999999999994</v>
          </cell>
          <cell r="J191">
            <v>86.162000000000006</v>
          </cell>
        </row>
        <row r="192">
          <cell r="A192" t="str">
            <v>06520C</v>
          </cell>
          <cell r="B192" t="str">
            <v>Dir Admin CAO</v>
          </cell>
          <cell r="C192" t="str">
            <v>CAP</v>
          </cell>
          <cell r="D192" t="str">
            <v>205</v>
          </cell>
          <cell r="F192">
            <v>53.567999999999998</v>
          </cell>
          <cell r="G192">
            <v>56.387</v>
          </cell>
          <cell r="H192">
            <v>57.515000000000001</v>
          </cell>
          <cell r="I192">
            <v>58.664999999999999</v>
          </cell>
          <cell r="J192">
            <v>59.838000000000001</v>
          </cell>
        </row>
        <row r="193">
          <cell r="A193" t="str">
            <v>C03046</v>
          </cell>
          <cell r="B193" t="str">
            <v>Dir Admin Conv Ctr-C</v>
          </cell>
          <cell r="C193" t="str">
            <v>CAP</v>
          </cell>
          <cell r="D193" t="str">
            <v>130</v>
          </cell>
          <cell r="F193">
            <v>62.350999999999999</v>
          </cell>
          <cell r="G193">
            <v>65.632999999999996</v>
          </cell>
          <cell r="H193">
            <v>66.944999999999993</v>
          </cell>
          <cell r="I193">
            <v>68.284000000000006</v>
          </cell>
          <cell r="J193">
            <v>69.650000000000006</v>
          </cell>
        </row>
        <row r="194">
          <cell r="A194" t="str">
            <v>59426C</v>
          </cell>
          <cell r="B194" t="str">
            <v>Dir Arts and Culturl Affairs-C</v>
          </cell>
          <cell r="C194" t="str">
            <v>CAP</v>
          </cell>
          <cell r="D194" t="str">
            <v>157</v>
          </cell>
          <cell r="F194">
            <v>61.814999999999998</v>
          </cell>
          <cell r="G194">
            <v>65.069000000000003</v>
          </cell>
          <cell r="H194">
            <v>66.37</v>
          </cell>
          <cell r="I194">
            <v>67.697000000000003</v>
          </cell>
          <cell r="J194">
            <v>69.051000000000002</v>
          </cell>
        </row>
        <row r="195">
          <cell r="A195" t="str">
            <v>C03051</v>
          </cell>
          <cell r="B195" t="str">
            <v>Dir Business Admin PW-C</v>
          </cell>
          <cell r="C195" t="str">
            <v>CAP</v>
          </cell>
          <cell r="D195" t="str">
            <v>99</v>
          </cell>
          <cell r="F195">
            <v>71.242000000000004</v>
          </cell>
          <cell r="G195">
            <v>74.989999999999995</v>
          </cell>
          <cell r="H195">
            <v>76.491</v>
          </cell>
          <cell r="I195">
            <v>78.021000000000001</v>
          </cell>
          <cell r="J195">
            <v>79.581000000000003</v>
          </cell>
        </row>
        <row r="196">
          <cell r="A196" t="str">
            <v>53068C</v>
          </cell>
          <cell r="B196" t="str">
            <v>Dir Climate Equity Action-C</v>
          </cell>
          <cell r="C196" t="str">
            <v>CAP</v>
          </cell>
          <cell r="D196" t="str">
            <v>194</v>
          </cell>
          <cell r="F196">
            <v>60.209000000000003</v>
          </cell>
          <cell r="G196">
            <v>63.377000000000002</v>
          </cell>
          <cell r="H196">
            <v>64.644999999999996</v>
          </cell>
          <cell r="I196">
            <v>65.938000000000002</v>
          </cell>
          <cell r="J196">
            <v>67.257000000000005</v>
          </cell>
        </row>
        <row r="197">
          <cell r="A197" t="str">
            <v>53058C</v>
          </cell>
          <cell r="B197" t="str">
            <v>Dir Cmmty Sfty Design &amp; Impl-C</v>
          </cell>
          <cell r="C197" t="str">
            <v>CAP</v>
          </cell>
          <cell r="D197" t="str">
            <v>39</v>
          </cell>
          <cell r="F197">
            <v>59.673000000000002</v>
          </cell>
          <cell r="G197">
            <v>62.814</v>
          </cell>
          <cell r="H197">
            <v>64.069000000000003</v>
          </cell>
          <cell r="I197">
            <v>65.350999999999999</v>
          </cell>
          <cell r="J197">
            <v>66.659000000000006</v>
          </cell>
        </row>
        <row r="198">
          <cell r="A198" t="str">
            <v>C03194</v>
          </cell>
          <cell r="B198" t="str">
            <v>Dir Complaint Inv Civil Rgts-C</v>
          </cell>
          <cell r="C198" t="str">
            <v>CAP</v>
          </cell>
          <cell r="D198" t="str">
            <v>24</v>
          </cell>
          <cell r="F198">
            <v>56.246000000000002</v>
          </cell>
          <cell r="G198">
            <v>59.206000000000003</v>
          </cell>
          <cell r="H198">
            <v>60.389000000000003</v>
          </cell>
          <cell r="I198">
            <v>61.597999999999999</v>
          </cell>
          <cell r="J198">
            <v>62.83</v>
          </cell>
        </row>
        <row r="199">
          <cell r="A199" t="str">
            <v>C03196</v>
          </cell>
          <cell r="B199" t="str">
            <v>Dir CPED Ops &amp; Innovation-C</v>
          </cell>
          <cell r="C199" t="str">
            <v>CAP</v>
          </cell>
          <cell r="D199" t="str">
            <v>147</v>
          </cell>
          <cell r="F199">
            <v>72.313000000000002</v>
          </cell>
          <cell r="G199">
            <v>76.119</v>
          </cell>
          <cell r="H199">
            <v>77.641000000000005</v>
          </cell>
          <cell r="I199">
            <v>79.194999999999993</v>
          </cell>
          <cell r="J199">
            <v>80.778999999999996</v>
          </cell>
        </row>
        <row r="200">
          <cell r="A200" t="str">
            <v>C03464</v>
          </cell>
          <cell r="B200" t="str">
            <v>Dir Hlth Policy &amp; Comm Progs-C</v>
          </cell>
          <cell r="C200" t="str">
            <v>CAP</v>
          </cell>
          <cell r="D200" t="str">
            <v>160</v>
          </cell>
          <cell r="F200">
            <v>61.28</v>
          </cell>
          <cell r="G200">
            <v>64.504999999999995</v>
          </cell>
          <cell r="H200">
            <v>65.795000000000002</v>
          </cell>
          <cell r="I200">
            <v>67.111999999999995</v>
          </cell>
          <cell r="J200">
            <v>68.453000000000003</v>
          </cell>
        </row>
        <row r="201">
          <cell r="A201" t="str">
            <v>C52280</v>
          </cell>
          <cell r="B201" t="str">
            <v>Dir Housing and Policy Div-C</v>
          </cell>
          <cell r="C201" t="str">
            <v>CAP</v>
          </cell>
          <cell r="D201" t="str">
            <v>113</v>
          </cell>
          <cell r="F201">
            <v>79.274000000000001</v>
          </cell>
          <cell r="G201">
            <v>83.447000000000003</v>
          </cell>
          <cell r="H201">
            <v>85.114999999999995</v>
          </cell>
          <cell r="I201">
            <v>86.817999999999998</v>
          </cell>
          <cell r="J201">
            <v>88.554000000000002</v>
          </cell>
        </row>
        <row r="202">
          <cell r="A202" t="str">
            <v>C03341</v>
          </cell>
          <cell r="B202" t="str">
            <v>Dir HR Business Operations</v>
          </cell>
          <cell r="C202" t="str">
            <v>CAP</v>
          </cell>
          <cell r="D202" t="str">
            <v>11</v>
          </cell>
          <cell r="F202">
            <v>61.902000000000001</v>
          </cell>
          <cell r="G202">
            <v>65.16</v>
          </cell>
          <cell r="H202">
            <v>66.462999999999994</v>
          </cell>
          <cell r="I202">
            <v>67.792000000000002</v>
          </cell>
          <cell r="J202">
            <v>69.147999999999996</v>
          </cell>
        </row>
        <row r="203">
          <cell r="A203" t="str">
            <v>C03342</v>
          </cell>
          <cell r="B203" t="str">
            <v>Dir HR Business Partner Sol-C</v>
          </cell>
          <cell r="C203" t="str">
            <v>CAP</v>
          </cell>
          <cell r="D203" t="str">
            <v>179</v>
          </cell>
          <cell r="F203">
            <v>71.388000000000005</v>
          </cell>
          <cell r="G203">
            <v>75.146000000000001</v>
          </cell>
          <cell r="H203">
            <v>76.647000000000006</v>
          </cell>
          <cell r="I203">
            <v>78.180999999999997</v>
          </cell>
          <cell r="J203">
            <v>79.744</v>
          </cell>
        </row>
        <row r="204">
          <cell r="A204" t="str">
            <v>C06712</v>
          </cell>
          <cell r="B204" t="str">
            <v>Dir HR Intrnl Wrkf Investgns-C</v>
          </cell>
          <cell r="C204" t="str">
            <v>CAP</v>
          </cell>
          <cell r="D204" t="str">
            <v>175</v>
          </cell>
          <cell r="F204">
            <v>61.323</v>
          </cell>
          <cell r="G204">
            <v>64.551000000000002</v>
          </cell>
          <cell r="H204">
            <v>65.840999999999994</v>
          </cell>
          <cell r="I204">
            <v>67.159000000000006</v>
          </cell>
          <cell r="J204">
            <v>68.503</v>
          </cell>
        </row>
        <row r="205">
          <cell r="A205" t="str">
            <v>C03360</v>
          </cell>
          <cell r="B205" t="str">
            <v>Dir HR Labor Relations</v>
          </cell>
          <cell r="C205" t="str">
            <v>CAP</v>
          </cell>
          <cell r="D205" t="str">
            <v>165</v>
          </cell>
          <cell r="F205">
            <v>85.075000000000003</v>
          </cell>
          <cell r="G205">
            <v>89.551000000000002</v>
          </cell>
          <cell r="H205">
            <v>91.343000000000004</v>
          </cell>
          <cell r="I205">
            <v>93.17</v>
          </cell>
          <cell r="J205">
            <v>95.033000000000001</v>
          </cell>
        </row>
        <row r="206">
          <cell r="A206" t="str">
            <v>C03343</v>
          </cell>
          <cell r="B206" t="str">
            <v>Dir HR Lrning &amp; Dev Solutions</v>
          </cell>
          <cell r="C206" t="str">
            <v>CAP</v>
          </cell>
          <cell r="D206" t="str">
            <v>174</v>
          </cell>
          <cell r="F206">
            <v>64.215999999999994</v>
          </cell>
          <cell r="G206">
            <v>67.594999999999999</v>
          </cell>
          <cell r="H206">
            <v>68.947000000000003</v>
          </cell>
          <cell r="I206">
            <v>70.326999999999998</v>
          </cell>
          <cell r="J206">
            <v>71.733000000000004</v>
          </cell>
        </row>
        <row r="207">
          <cell r="A207" t="str">
            <v>C03348</v>
          </cell>
          <cell r="B207" t="str">
            <v>Dir Innovation Delivery Team-C</v>
          </cell>
          <cell r="C207" t="str">
            <v>CAP</v>
          </cell>
          <cell r="D207" t="str">
            <v>51</v>
          </cell>
          <cell r="F207">
            <v>66.099999999999994</v>
          </cell>
          <cell r="G207">
            <v>69.578999999999994</v>
          </cell>
          <cell r="H207">
            <v>70.97</v>
          </cell>
          <cell r="I207">
            <v>72.39</v>
          </cell>
          <cell r="J207">
            <v>73.837000000000003</v>
          </cell>
        </row>
        <row r="208">
          <cell r="A208" t="str">
            <v>C03332</v>
          </cell>
          <cell r="B208" t="str">
            <v>Dir Invest Capital Debt Mgmt-C</v>
          </cell>
          <cell r="C208" t="str">
            <v>CAP</v>
          </cell>
          <cell r="D208" t="str">
            <v>144</v>
          </cell>
          <cell r="F208">
            <v>66.956999999999994</v>
          </cell>
          <cell r="G208">
            <v>70.480999999999995</v>
          </cell>
          <cell r="H208">
            <v>71.891000000000005</v>
          </cell>
          <cell r="I208">
            <v>73.328000000000003</v>
          </cell>
          <cell r="J208">
            <v>74.793999999999997</v>
          </cell>
        </row>
        <row r="209">
          <cell r="A209" t="str">
            <v>C03379</v>
          </cell>
          <cell r="B209" t="str">
            <v>Dir Major Real Estate Proj - C</v>
          </cell>
          <cell r="C209" t="str">
            <v>CAP</v>
          </cell>
          <cell r="D209" t="str">
            <v>200</v>
          </cell>
          <cell r="F209">
            <v>67.492999999999995</v>
          </cell>
          <cell r="G209">
            <v>71.043999999999997</v>
          </cell>
          <cell r="H209">
            <v>72.465999999999994</v>
          </cell>
          <cell r="I209">
            <v>73.915000000000006</v>
          </cell>
          <cell r="J209">
            <v>75.393000000000001</v>
          </cell>
        </row>
        <row r="210">
          <cell r="A210" t="str">
            <v>C03380</v>
          </cell>
          <cell r="B210" t="str">
            <v>Dir Mpls Emrgncy Commun Ctr-C</v>
          </cell>
          <cell r="C210" t="str">
            <v>CAP</v>
          </cell>
          <cell r="D210" t="str">
            <v>147</v>
          </cell>
          <cell r="F210">
            <v>72.313000000000002</v>
          </cell>
          <cell r="G210">
            <v>76.119</v>
          </cell>
          <cell r="H210">
            <v>77.641000000000005</v>
          </cell>
          <cell r="I210">
            <v>79.194999999999993</v>
          </cell>
          <cell r="J210">
            <v>80.778999999999996</v>
          </cell>
        </row>
        <row r="211">
          <cell r="A211" t="str">
            <v>C03406</v>
          </cell>
          <cell r="B211" t="str">
            <v>Dir Ofc Immigr &amp; Refugee Aff-C</v>
          </cell>
          <cell r="C211" t="str">
            <v>CAP</v>
          </cell>
          <cell r="D211" t="str">
            <v>26</v>
          </cell>
          <cell r="F211">
            <v>53.567</v>
          </cell>
          <cell r="G211">
            <v>56.387999999999998</v>
          </cell>
          <cell r="H211">
            <v>57.514000000000003</v>
          </cell>
          <cell r="I211">
            <v>58.664999999999999</v>
          </cell>
          <cell r="J211">
            <v>59.838999999999999</v>
          </cell>
        </row>
        <row r="212">
          <cell r="A212" t="str">
            <v>52914C</v>
          </cell>
          <cell r="B212" t="str">
            <v>Dir Office of Violence Prevent</v>
          </cell>
          <cell r="C212" t="str">
            <v>CAP</v>
          </cell>
          <cell r="D212" t="str">
            <v>26</v>
          </cell>
          <cell r="F212">
            <v>53.567</v>
          </cell>
          <cell r="G212">
            <v>56.387999999999998</v>
          </cell>
          <cell r="H212">
            <v>57.514000000000003</v>
          </cell>
          <cell r="I212">
            <v>58.664999999999999</v>
          </cell>
          <cell r="J212">
            <v>59.838999999999999</v>
          </cell>
        </row>
        <row r="213">
          <cell r="A213" t="str">
            <v>52907C</v>
          </cell>
          <cell r="B213" t="str">
            <v>Dir Oper and Engagement</v>
          </cell>
          <cell r="C213" t="str">
            <v>CAP</v>
          </cell>
          <cell r="D213" t="str">
            <v>156</v>
          </cell>
          <cell r="F213">
            <v>66.635999999999996</v>
          </cell>
          <cell r="G213">
            <v>70.141999999999996</v>
          </cell>
          <cell r="H213">
            <v>71.545000000000002</v>
          </cell>
          <cell r="I213">
            <v>72.977000000000004</v>
          </cell>
          <cell r="J213">
            <v>74.436000000000007</v>
          </cell>
        </row>
        <row r="214">
          <cell r="A214" t="str">
            <v>C03034</v>
          </cell>
          <cell r="B214" t="str">
            <v>Dir Park Mgmt &amp; Trf Contrl-C</v>
          </cell>
          <cell r="C214" t="str">
            <v>CAP</v>
          </cell>
          <cell r="D214" t="str">
            <v>80</v>
          </cell>
          <cell r="F214">
            <v>56.78</v>
          </cell>
          <cell r="G214">
            <v>59.77</v>
          </cell>
          <cell r="H214">
            <v>60.963999999999999</v>
          </cell>
          <cell r="I214">
            <v>62.183999999999997</v>
          </cell>
          <cell r="J214">
            <v>63.429000000000002</v>
          </cell>
        </row>
        <row r="215">
          <cell r="A215" t="str">
            <v>59453C</v>
          </cell>
          <cell r="B215" t="str">
            <v>Dir Performance Mgmt &amp; Innov</v>
          </cell>
          <cell r="C215" t="str">
            <v>CAP</v>
          </cell>
          <cell r="D215" t="str">
            <v>41</v>
          </cell>
          <cell r="F215">
            <v>70.92</v>
          </cell>
          <cell r="G215">
            <v>74.652000000000001</v>
          </cell>
          <cell r="H215">
            <v>76.146000000000001</v>
          </cell>
          <cell r="I215">
            <v>77.668000000000006</v>
          </cell>
          <cell r="J215">
            <v>79.221000000000004</v>
          </cell>
        </row>
        <row r="216">
          <cell r="A216" t="str">
            <v>C03463</v>
          </cell>
          <cell r="B216" t="str">
            <v>Dir Police Conduct Rvw (CR)-C</v>
          </cell>
          <cell r="C216" t="str">
            <v>CAP</v>
          </cell>
          <cell r="D216" t="str">
            <v>153</v>
          </cell>
          <cell r="F216">
            <v>56.996000000000002</v>
          </cell>
          <cell r="G216">
            <v>59.994999999999997</v>
          </cell>
          <cell r="H216">
            <v>61.195999999999998</v>
          </cell>
          <cell r="I216">
            <v>62.418999999999997</v>
          </cell>
          <cell r="J216">
            <v>63.667000000000002</v>
          </cell>
        </row>
        <row r="217">
          <cell r="A217" t="str">
            <v>C06711</v>
          </cell>
          <cell r="B217" t="str">
            <v>Dir Racial Equity Incl &amp; Bel-C</v>
          </cell>
          <cell r="C217" t="str">
            <v>CAP</v>
          </cell>
          <cell r="D217" t="str">
            <v>173</v>
          </cell>
          <cell r="F217">
            <v>71.991</v>
          </cell>
          <cell r="G217">
            <v>75.78</v>
          </cell>
          <cell r="H217">
            <v>77.295000000000002</v>
          </cell>
          <cell r="I217">
            <v>78.840999999999994</v>
          </cell>
          <cell r="J217">
            <v>80.418000000000006</v>
          </cell>
        </row>
        <row r="218">
          <cell r="A218" t="str">
            <v>59214C</v>
          </cell>
          <cell r="B218" t="str">
            <v>Dir Strategic Initiatvs CPED-C</v>
          </cell>
          <cell r="C218" t="str">
            <v>CAP</v>
          </cell>
          <cell r="D218" t="str">
            <v>57</v>
          </cell>
          <cell r="F218">
            <v>69.849000000000004</v>
          </cell>
          <cell r="G218">
            <v>73.524000000000001</v>
          </cell>
          <cell r="H218">
            <v>74.995000000000005</v>
          </cell>
          <cell r="I218">
            <v>76.495000000000005</v>
          </cell>
          <cell r="J218">
            <v>78.025000000000006</v>
          </cell>
        </row>
        <row r="219">
          <cell r="A219" t="str">
            <v>59213C</v>
          </cell>
          <cell r="B219" t="str">
            <v>Dir Strategic Management</v>
          </cell>
          <cell r="C219" t="str">
            <v>CAP</v>
          </cell>
          <cell r="D219" t="str">
            <v>57</v>
          </cell>
          <cell r="F219">
            <v>69.849000000000004</v>
          </cell>
          <cell r="G219">
            <v>73.524000000000001</v>
          </cell>
          <cell r="H219">
            <v>74.995000000000005</v>
          </cell>
          <cell r="I219">
            <v>76.495000000000005</v>
          </cell>
          <cell r="J219">
            <v>78.025000000000006</v>
          </cell>
        </row>
        <row r="220">
          <cell r="A220" t="str">
            <v>C03533</v>
          </cell>
          <cell r="B220" t="str">
            <v>Dir Transptn Plan &amp; Program -C</v>
          </cell>
          <cell r="C220" t="str">
            <v>CAP</v>
          </cell>
          <cell r="D220" t="str">
            <v>97</v>
          </cell>
          <cell r="F220">
            <v>71.991</v>
          </cell>
          <cell r="G220">
            <v>75.78</v>
          </cell>
          <cell r="H220">
            <v>77.296000000000006</v>
          </cell>
          <cell r="I220">
            <v>78.84</v>
          </cell>
          <cell r="J220">
            <v>80.418000000000006</v>
          </cell>
        </row>
        <row r="221">
          <cell r="A221" t="str">
            <v>C03540</v>
          </cell>
          <cell r="B221" t="str">
            <v>Dir Water Trmnt &amp; Distrib-C</v>
          </cell>
          <cell r="C221" t="str">
            <v>CAP</v>
          </cell>
          <cell r="D221" t="str">
            <v>62</v>
          </cell>
          <cell r="F221">
            <v>77.132000000000005</v>
          </cell>
          <cell r="G221">
            <v>81.191999999999993</v>
          </cell>
          <cell r="H221">
            <v>82.816999999999993</v>
          </cell>
          <cell r="I221">
            <v>84.471999999999994</v>
          </cell>
          <cell r="J221">
            <v>86.162000000000006</v>
          </cell>
        </row>
        <row r="222">
          <cell r="A222" t="str">
            <v>C03361</v>
          </cell>
          <cell r="B222" t="str">
            <v>Director (reuse this job code)</v>
          </cell>
          <cell r="C222" t="str">
            <v>CAP</v>
          </cell>
          <cell r="D222" t="str">
            <v>07</v>
          </cell>
          <cell r="F222">
            <v>57.541345999999997</v>
          </cell>
          <cell r="G222">
            <v>60.570191999999999</v>
          </cell>
          <cell r="H222">
            <v>61.78125</v>
          </cell>
          <cell r="I222">
            <v>63.016826999999999</v>
          </cell>
          <cell r="J222">
            <v>64.277404000000004</v>
          </cell>
        </row>
        <row r="223">
          <cell r="A223" t="str">
            <v>C03129</v>
          </cell>
          <cell r="B223" t="str">
            <v>Director Acctg &amp; Fin Rprtg-C</v>
          </cell>
          <cell r="C223" t="str">
            <v>CAP</v>
          </cell>
          <cell r="D223" t="str">
            <v>134</v>
          </cell>
          <cell r="F223">
            <v>57.530999999999999</v>
          </cell>
          <cell r="G223">
            <v>60.56</v>
          </cell>
          <cell r="H223">
            <v>61.77</v>
          </cell>
          <cell r="I223">
            <v>63.005000000000003</v>
          </cell>
          <cell r="J223">
            <v>64.266000000000005</v>
          </cell>
        </row>
        <row r="224">
          <cell r="A224" t="str">
            <v>C03018</v>
          </cell>
          <cell r="B224" t="str">
            <v>Director Admin &amp; Comm Engage-C</v>
          </cell>
          <cell r="C224" t="str">
            <v>CAP</v>
          </cell>
          <cell r="D224" t="str">
            <v>115</v>
          </cell>
          <cell r="F224">
            <v>54.103000000000002</v>
          </cell>
          <cell r="G224">
            <v>56.951000000000001</v>
          </cell>
          <cell r="H224">
            <v>58.09</v>
          </cell>
          <cell r="I224">
            <v>59.253</v>
          </cell>
          <cell r="J224">
            <v>60.436</v>
          </cell>
        </row>
        <row r="225">
          <cell r="A225" t="str">
            <v>C03170</v>
          </cell>
          <cell r="B225" t="str">
            <v>Director Assessments-C</v>
          </cell>
          <cell r="C225" t="str">
            <v>CAP</v>
          </cell>
          <cell r="D225" t="str">
            <v>55</v>
          </cell>
          <cell r="F225">
            <v>68.242000000000004</v>
          </cell>
          <cell r="G225">
            <v>71.834000000000003</v>
          </cell>
          <cell r="H225">
            <v>73.27</v>
          </cell>
          <cell r="I225">
            <v>74.734999999999999</v>
          </cell>
          <cell r="J225">
            <v>76.230999999999995</v>
          </cell>
        </row>
        <row r="226">
          <cell r="A226" t="str">
            <v>C03180</v>
          </cell>
          <cell r="B226" t="str">
            <v>Director Budget-C</v>
          </cell>
          <cell r="C226" t="str">
            <v>CAP</v>
          </cell>
          <cell r="D226" t="str">
            <v>108</v>
          </cell>
          <cell r="F226">
            <v>61.600999999999999</v>
          </cell>
          <cell r="G226">
            <v>64.843000000000004</v>
          </cell>
          <cell r="H226">
            <v>66.14</v>
          </cell>
          <cell r="I226">
            <v>67.462000000000003</v>
          </cell>
          <cell r="J226">
            <v>68.811999999999998</v>
          </cell>
        </row>
        <row r="227">
          <cell r="A227" t="str">
            <v>C03185</v>
          </cell>
          <cell r="B227" t="str">
            <v>Director Capital &amp; Debt Mgmt-C</v>
          </cell>
          <cell r="C227" t="str">
            <v>CAP</v>
          </cell>
          <cell r="D227" t="str">
            <v>39</v>
          </cell>
          <cell r="F227">
            <v>59.673000000000002</v>
          </cell>
          <cell r="G227">
            <v>62.814</v>
          </cell>
          <cell r="H227">
            <v>64.069000000000003</v>
          </cell>
          <cell r="I227">
            <v>65.350999999999999</v>
          </cell>
          <cell r="J227">
            <v>66.659000000000006</v>
          </cell>
        </row>
        <row r="228">
          <cell r="A228" t="str">
            <v>C00713</v>
          </cell>
          <cell r="B228" t="str">
            <v>Director Civil Rights Equity-C</v>
          </cell>
          <cell r="C228" t="str">
            <v>CAP</v>
          </cell>
          <cell r="D228" t="str">
            <v>135</v>
          </cell>
          <cell r="F228">
            <v>50.354999999999997</v>
          </cell>
          <cell r="G228">
            <v>53.005000000000003</v>
          </cell>
          <cell r="H228">
            <v>54.064</v>
          </cell>
          <cell r="I228">
            <v>55.145000000000003</v>
          </cell>
          <cell r="J228">
            <v>56.247999999999998</v>
          </cell>
        </row>
        <row r="229">
          <cell r="A229" t="str">
            <v>C03200</v>
          </cell>
          <cell r="B229" t="str">
            <v>Director Civil Rights-C</v>
          </cell>
          <cell r="C229" t="str">
            <v>CAP</v>
          </cell>
          <cell r="D229" t="str">
            <v>201</v>
          </cell>
          <cell r="F229">
            <v>84.63</v>
          </cell>
          <cell r="G229">
            <v>89.084000000000003</v>
          </cell>
          <cell r="H229">
            <v>90.866</v>
          </cell>
          <cell r="I229">
            <v>92.683000000000007</v>
          </cell>
          <cell r="J229">
            <v>94.537000000000006</v>
          </cell>
        </row>
        <row r="230">
          <cell r="A230" t="str">
            <v>C03215</v>
          </cell>
          <cell r="B230" t="str">
            <v>Director Communications</v>
          </cell>
          <cell r="C230" t="str">
            <v>CAP</v>
          </cell>
          <cell r="D230" t="str">
            <v>94</v>
          </cell>
          <cell r="F230">
            <v>68.777000000000001</v>
          </cell>
          <cell r="G230">
            <v>72.397999999999996</v>
          </cell>
          <cell r="H230">
            <v>73.844999999999999</v>
          </cell>
          <cell r="I230">
            <v>75.322999999999993</v>
          </cell>
          <cell r="J230">
            <v>76.828999999999994</v>
          </cell>
        </row>
        <row r="231">
          <cell r="A231" t="str">
            <v>C03572</v>
          </cell>
          <cell r="B231" t="str">
            <v>Director Contract Compliance-C</v>
          </cell>
          <cell r="C231" t="str">
            <v>CAP</v>
          </cell>
          <cell r="D231" t="str">
            <v>38</v>
          </cell>
          <cell r="F231">
            <v>53.247</v>
          </cell>
          <cell r="G231">
            <v>56.048999999999999</v>
          </cell>
          <cell r="H231">
            <v>57.168999999999997</v>
          </cell>
          <cell r="I231">
            <v>58.313000000000002</v>
          </cell>
          <cell r="J231">
            <v>59.48</v>
          </cell>
        </row>
        <row r="232">
          <cell r="A232" t="str">
            <v>C03217</v>
          </cell>
          <cell r="B232" t="str">
            <v>Director Development Fin-C</v>
          </cell>
          <cell r="C232" t="str">
            <v>CAP</v>
          </cell>
          <cell r="D232" t="str">
            <v>112</v>
          </cell>
          <cell r="F232">
            <v>63.207000000000001</v>
          </cell>
          <cell r="G232">
            <v>66.534999999999997</v>
          </cell>
          <cell r="H232">
            <v>67.864999999999995</v>
          </cell>
          <cell r="I232">
            <v>69.221999999999994</v>
          </cell>
          <cell r="J232">
            <v>70.606999999999999</v>
          </cell>
        </row>
        <row r="233">
          <cell r="A233" t="str">
            <v>C03216</v>
          </cell>
          <cell r="B233" t="str">
            <v>Director Dvlpmnt Services-C</v>
          </cell>
          <cell r="C233" t="str">
            <v>CAP</v>
          </cell>
          <cell r="D233" t="str">
            <v>103</v>
          </cell>
          <cell r="F233">
            <v>78.417000000000002</v>
          </cell>
          <cell r="G233">
            <v>82.545000000000002</v>
          </cell>
          <cell r="H233">
            <v>84.195999999999998</v>
          </cell>
          <cell r="I233">
            <v>85.88</v>
          </cell>
          <cell r="J233">
            <v>87.596999999999994</v>
          </cell>
        </row>
        <row r="234">
          <cell r="A234" t="str">
            <v>C52270</v>
          </cell>
          <cell r="B234" t="str">
            <v>Director Economic Plcy &amp; Dev-C</v>
          </cell>
          <cell r="C234" t="str">
            <v>CAP</v>
          </cell>
          <cell r="D234" t="str">
            <v>113</v>
          </cell>
          <cell r="F234">
            <v>79.274000000000001</v>
          </cell>
          <cell r="G234">
            <v>83.447000000000003</v>
          </cell>
          <cell r="H234">
            <v>85.114999999999995</v>
          </cell>
          <cell r="I234">
            <v>86.817999999999998</v>
          </cell>
          <cell r="J234">
            <v>88.554000000000002</v>
          </cell>
        </row>
        <row r="235">
          <cell r="A235" t="str">
            <v>C03225</v>
          </cell>
          <cell r="B235" t="str">
            <v>Director Emergency Mgmnt-C</v>
          </cell>
          <cell r="C235" t="str">
            <v>CAP</v>
          </cell>
          <cell r="D235" t="str">
            <v>41</v>
          </cell>
          <cell r="F235">
            <v>70.92</v>
          </cell>
          <cell r="G235">
            <v>74.652000000000001</v>
          </cell>
          <cell r="H235">
            <v>76.146000000000001</v>
          </cell>
          <cell r="I235">
            <v>77.668000000000006</v>
          </cell>
          <cell r="J235">
            <v>79.221000000000004</v>
          </cell>
        </row>
        <row r="236">
          <cell r="A236" t="str">
            <v>C03250</v>
          </cell>
          <cell r="B236" t="str">
            <v>Director Environmntl Health -C</v>
          </cell>
          <cell r="C236" t="str">
            <v>CAP</v>
          </cell>
          <cell r="D236" t="str">
            <v>75</v>
          </cell>
          <cell r="F236">
            <v>58.387999999999998</v>
          </cell>
          <cell r="G236">
            <v>61.460999999999999</v>
          </cell>
          <cell r="H236">
            <v>62.69</v>
          </cell>
          <cell r="I236">
            <v>63.944000000000003</v>
          </cell>
          <cell r="J236">
            <v>65.221999999999994</v>
          </cell>
        </row>
        <row r="237">
          <cell r="A237" t="str">
            <v>C03265</v>
          </cell>
          <cell r="B237" t="str">
            <v>Director Event Services-C</v>
          </cell>
          <cell r="C237" t="str">
            <v>CAP</v>
          </cell>
          <cell r="D237" t="str">
            <v>49</v>
          </cell>
          <cell r="F237">
            <v>65.563999999999993</v>
          </cell>
          <cell r="G237">
            <v>69.013999999999996</v>
          </cell>
          <cell r="H237">
            <v>70.394999999999996</v>
          </cell>
          <cell r="I237">
            <v>71.802999999999997</v>
          </cell>
          <cell r="J237">
            <v>73.239000000000004</v>
          </cell>
        </row>
        <row r="238">
          <cell r="A238" t="str">
            <v>C03267</v>
          </cell>
          <cell r="B238" t="str">
            <v>Director Facility Services-C</v>
          </cell>
          <cell r="C238" t="str">
            <v>CAP</v>
          </cell>
          <cell r="D238" t="str">
            <v>49</v>
          </cell>
          <cell r="F238">
            <v>65.563999999999993</v>
          </cell>
          <cell r="G238">
            <v>69.013999999999996</v>
          </cell>
          <cell r="H238">
            <v>70.394999999999996</v>
          </cell>
          <cell r="I238">
            <v>71.802999999999997</v>
          </cell>
          <cell r="J238">
            <v>73.239000000000004</v>
          </cell>
        </row>
        <row r="239">
          <cell r="A239" t="str">
            <v>C09890</v>
          </cell>
          <cell r="B239" t="str">
            <v>Director Fleet Services -C</v>
          </cell>
          <cell r="C239" t="str">
            <v>CAP</v>
          </cell>
          <cell r="D239" t="str">
            <v>92</v>
          </cell>
          <cell r="F239">
            <v>65.349999999999994</v>
          </cell>
          <cell r="G239">
            <v>68.790000000000006</v>
          </cell>
          <cell r="H239">
            <v>70.165000000000006</v>
          </cell>
          <cell r="I239">
            <v>71.567999999999998</v>
          </cell>
          <cell r="J239">
            <v>73</v>
          </cell>
        </row>
        <row r="240">
          <cell r="A240" t="str">
            <v>53042C</v>
          </cell>
          <cell r="B240" t="str">
            <v>Director Health Operations-C</v>
          </cell>
          <cell r="C240" t="str">
            <v>CAP</v>
          </cell>
          <cell r="D240" t="str">
            <v>84</v>
          </cell>
          <cell r="F240">
            <v>58.923999999999999</v>
          </cell>
          <cell r="G240">
            <v>62.024999999999999</v>
          </cell>
          <cell r="H240">
            <v>63.265000000000001</v>
          </cell>
          <cell r="I240">
            <v>64.531000000000006</v>
          </cell>
          <cell r="J240">
            <v>65.819999999999993</v>
          </cell>
        </row>
        <row r="241">
          <cell r="A241" t="str">
            <v>C03030</v>
          </cell>
          <cell r="B241" t="str">
            <v>Director Housing Insp Srvs-C</v>
          </cell>
          <cell r="C241" t="str">
            <v>CAP</v>
          </cell>
          <cell r="D241" t="str">
            <v>105</v>
          </cell>
          <cell r="F241">
            <v>62.137</v>
          </cell>
          <cell r="G241">
            <v>65.406999999999996</v>
          </cell>
          <cell r="H241">
            <v>66.715000000000003</v>
          </cell>
          <cell r="I241">
            <v>68.05</v>
          </cell>
          <cell r="J241">
            <v>69.411000000000001</v>
          </cell>
        </row>
        <row r="242">
          <cell r="A242" t="str">
            <v>C03532</v>
          </cell>
          <cell r="B242" t="str">
            <v>Director HR Total Comp</v>
          </cell>
          <cell r="C242" t="str">
            <v>CAP</v>
          </cell>
          <cell r="D242" t="str">
            <v>179</v>
          </cell>
          <cell r="F242">
            <v>71.388000000000005</v>
          </cell>
          <cell r="G242">
            <v>75.146000000000001</v>
          </cell>
          <cell r="H242">
            <v>76.647000000000006</v>
          </cell>
          <cell r="I242">
            <v>78.180999999999997</v>
          </cell>
          <cell r="J242">
            <v>79.744</v>
          </cell>
        </row>
        <row r="243">
          <cell r="A243" t="str">
            <v>C03320</v>
          </cell>
          <cell r="B243" t="str">
            <v>Director IGR</v>
          </cell>
          <cell r="C243" t="str">
            <v>CAP</v>
          </cell>
          <cell r="D243" t="str">
            <v>116</v>
          </cell>
          <cell r="F243">
            <v>73.061999999999998</v>
          </cell>
          <cell r="G243">
            <v>76.906999999999996</v>
          </cell>
          <cell r="H243">
            <v>78.444999999999993</v>
          </cell>
          <cell r="I243">
            <v>80.015000000000001</v>
          </cell>
          <cell r="J243">
            <v>81.614999999999995</v>
          </cell>
        </row>
        <row r="244">
          <cell r="A244" t="str">
            <v>C03345</v>
          </cell>
          <cell r="B244" t="str">
            <v>Director Information Tech Sv-C</v>
          </cell>
          <cell r="C244" t="str">
            <v>CAP</v>
          </cell>
          <cell r="D244" t="str">
            <v>79</v>
          </cell>
          <cell r="F244">
            <v>78.006</v>
          </cell>
          <cell r="G244">
            <v>82.111000000000004</v>
          </cell>
          <cell r="H244">
            <v>83.754000000000005</v>
          </cell>
          <cell r="I244">
            <v>85.427999999999997</v>
          </cell>
          <cell r="J244">
            <v>87.135999999999996</v>
          </cell>
        </row>
        <row r="245">
          <cell r="A245" t="str">
            <v>C03355</v>
          </cell>
          <cell r="B245" t="str">
            <v>Director Internal Audit - C</v>
          </cell>
          <cell r="C245" t="str">
            <v>CAP</v>
          </cell>
          <cell r="D245" t="str">
            <v>127</v>
          </cell>
          <cell r="F245">
            <v>73.864999999999995</v>
          </cell>
          <cell r="G245">
            <v>77.751999999999995</v>
          </cell>
          <cell r="H245">
            <v>79.307000000000002</v>
          </cell>
          <cell r="I245">
            <v>80.893000000000001</v>
          </cell>
          <cell r="J245">
            <v>82.51</v>
          </cell>
        </row>
        <row r="246">
          <cell r="A246" t="str">
            <v>52941C</v>
          </cell>
          <cell r="B246" t="str">
            <v>Director Labor Standards</v>
          </cell>
          <cell r="C246" t="str">
            <v>CAP</v>
          </cell>
          <cell r="D246" t="str">
            <v>143</v>
          </cell>
          <cell r="F246">
            <v>56.46</v>
          </cell>
          <cell r="G246">
            <v>59.432000000000002</v>
          </cell>
          <cell r="H246">
            <v>60.62</v>
          </cell>
          <cell r="I246">
            <v>61.832999999999998</v>
          </cell>
          <cell r="J246">
            <v>63.069000000000003</v>
          </cell>
        </row>
        <row r="247">
          <cell r="A247" t="str">
            <v>C03377</v>
          </cell>
          <cell r="B247" t="str">
            <v>Director Long Range Planning-C</v>
          </cell>
          <cell r="C247" t="str">
            <v>CAP</v>
          </cell>
          <cell r="D247" t="str">
            <v>151</v>
          </cell>
          <cell r="F247">
            <v>71.777000000000001</v>
          </cell>
          <cell r="G247">
            <v>75.555000000000007</v>
          </cell>
          <cell r="H247">
            <v>77.066000000000003</v>
          </cell>
          <cell r="I247">
            <v>78.606999999999999</v>
          </cell>
          <cell r="J247">
            <v>80.179000000000002</v>
          </cell>
        </row>
        <row r="248">
          <cell r="A248" t="str">
            <v>C03396</v>
          </cell>
          <cell r="B248" t="str">
            <v>Director MFD Finance&amp;Logistics</v>
          </cell>
          <cell r="C248" t="str">
            <v>CAP</v>
          </cell>
          <cell r="D248" t="str">
            <v>108</v>
          </cell>
          <cell r="F248">
            <v>61.600999999999999</v>
          </cell>
          <cell r="G248">
            <v>64.843000000000004</v>
          </cell>
          <cell r="H248">
            <v>66.14</v>
          </cell>
          <cell r="I248">
            <v>67.462000000000003</v>
          </cell>
          <cell r="J248">
            <v>68.811999999999998</v>
          </cell>
        </row>
        <row r="249">
          <cell r="A249" t="str">
            <v>C03574</v>
          </cell>
          <cell r="B249" t="str">
            <v>Director MPD Crime Lab - C</v>
          </cell>
          <cell r="C249" t="str">
            <v>CAP</v>
          </cell>
          <cell r="D249" t="str">
            <v>105</v>
          </cell>
          <cell r="F249">
            <v>62.137</v>
          </cell>
          <cell r="G249">
            <v>65.406999999999996</v>
          </cell>
          <cell r="H249">
            <v>66.715000000000003</v>
          </cell>
          <cell r="I249">
            <v>68.05</v>
          </cell>
          <cell r="J249">
            <v>69.411000000000001</v>
          </cell>
        </row>
        <row r="250">
          <cell r="A250" t="str">
            <v>C03397</v>
          </cell>
          <cell r="B250" t="str">
            <v>Director MPD Financial Opr - C</v>
          </cell>
          <cell r="C250" t="str">
            <v>CAP</v>
          </cell>
          <cell r="D250" t="str">
            <v>130</v>
          </cell>
          <cell r="F250">
            <v>62.350999999999999</v>
          </cell>
          <cell r="G250">
            <v>65.632999999999996</v>
          </cell>
          <cell r="H250">
            <v>66.944999999999993</v>
          </cell>
          <cell r="I250">
            <v>68.284000000000006</v>
          </cell>
          <cell r="J250">
            <v>69.650000000000006</v>
          </cell>
        </row>
        <row r="251">
          <cell r="A251" t="str">
            <v>53076C</v>
          </cell>
          <cell r="B251" t="str">
            <v>Director MPD Training-C</v>
          </cell>
          <cell r="C251" t="str">
            <v>CAP</v>
          </cell>
          <cell r="D251" t="str">
            <v>198</v>
          </cell>
          <cell r="F251">
            <v>59.994</v>
          </cell>
          <cell r="G251">
            <v>63.152000000000001</v>
          </cell>
          <cell r="H251">
            <v>64.415000000000006</v>
          </cell>
          <cell r="I251">
            <v>65.703000000000003</v>
          </cell>
          <cell r="J251">
            <v>67.016999999999996</v>
          </cell>
        </row>
        <row r="252">
          <cell r="A252" t="str">
            <v>C00710</v>
          </cell>
          <cell r="B252" t="str">
            <v>Director MPLS 311 (APPT)  -C</v>
          </cell>
          <cell r="C252" t="str">
            <v>CAP</v>
          </cell>
          <cell r="D252" t="str">
            <v>77</v>
          </cell>
          <cell r="F252">
            <v>59.459000000000003</v>
          </cell>
          <cell r="G252">
            <v>62.588000000000001</v>
          </cell>
          <cell r="H252">
            <v>63.838999999999999</v>
          </cell>
          <cell r="I252">
            <v>65.117000000000004</v>
          </cell>
          <cell r="J252">
            <v>66.42</v>
          </cell>
        </row>
        <row r="253">
          <cell r="A253" t="str">
            <v>59429C</v>
          </cell>
          <cell r="B253" t="str">
            <v>Director NCR</v>
          </cell>
          <cell r="C253" t="str">
            <v>CAP</v>
          </cell>
          <cell r="D253" t="str">
            <v>63</v>
          </cell>
          <cell r="F253">
            <v>77.775000000000006</v>
          </cell>
          <cell r="G253">
            <v>81.869</v>
          </cell>
          <cell r="H253">
            <v>83.507000000000005</v>
          </cell>
          <cell r="I253">
            <v>85.176000000000002</v>
          </cell>
          <cell r="J253">
            <v>86.879000000000005</v>
          </cell>
        </row>
        <row r="254">
          <cell r="A254" t="str">
            <v>C00701</v>
          </cell>
          <cell r="B254" t="str">
            <v>Director NCR</v>
          </cell>
          <cell r="C254" t="str">
            <v>CAP</v>
          </cell>
          <cell r="D254" t="str">
            <v>132</v>
          </cell>
          <cell r="F254">
            <v>77.346000000000004</v>
          </cell>
          <cell r="G254">
            <v>81.417000000000002</v>
          </cell>
          <cell r="H254">
            <v>83.046000000000006</v>
          </cell>
          <cell r="I254">
            <v>84.706999999999994</v>
          </cell>
          <cell r="J254">
            <v>86.402000000000001</v>
          </cell>
        </row>
        <row r="255">
          <cell r="A255" t="str">
            <v>53034C</v>
          </cell>
          <cell r="B255" t="str">
            <v>Director Neighborhood Safety</v>
          </cell>
          <cell r="C255" t="str">
            <v>CAP</v>
          </cell>
          <cell r="D255" t="str">
            <v>163</v>
          </cell>
          <cell r="F255">
            <v>71.911000000000001</v>
          </cell>
          <cell r="G255">
            <v>75.695999999999998</v>
          </cell>
          <cell r="H255">
            <v>77.209999999999994</v>
          </cell>
          <cell r="I255">
            <v>78.754000000000005</v>
          </cell>
          <cell r="J255">
            <v>80.328999999999994</v>
          </cell>
        </row>
        <row r="256">
          <cell r="A256" t="str">
            <v>53069C</v>
          </cell>
          <cell r="B256" t="str">
            <v>Director OCS Administration-C</v>
          </cell>
          <cell r="C256" t="str">
            <v>CAP</v>
          </cell>
          <cell r="D256" t="str">
            <v>189</v>
          </cell>
          <cell r="F256">
            <v>57.851999999999997</v>
          </cell>
          <cell r="G256">
            <v>60.896999999999998</v>
          </cell>
          <cell r="H256">
            <v>62.115000000000002</v>
          </cell>
          <cell r="I256">
            <v>63.356999999999999</v>
          </cell>
          <cell r="J256">
            <v>64.625</v>
          </cell>
        </row>
        <row r="257">
          <cell r="A257" t="str">
            <v>C03219</v>
          </cell>
          <cell r="B257" t="str">
            <v>Director of CPED</v>
          </cell>
          <cell r="C257" t="str">
            <v>CAP</v>
          </cell>
          <cell r="D257" t="str">
            <v>70</v>
          </cell>
          <cell r="F257">
            <v>89.129000000000005</v>
          </cell>
          <cell r="G257">
            <v>93.819000000000003</v>
          </cell>
          <cell r="H257">
            <v>95.695999999999998</v>
          </cell>
          <cell r="I257">
            <v>97.611000000000004</v>
          </cell>
          <cell r="J257">
            <v>99.561999999999998</v>
          </cell>
        </row>
        <row r="258">
          <cell r="A258" t="str">
            <v>C03029</v>
          </cell>
          <cell r="B258" t="str">
            <v>Director Opr &amp; Bus Improve - C</v>
          </cell>
          <cell r="C258" t="str">
            <v>CAP</v>
          </cell>
          <cell r="D258" t="str">
            <v>115</v>
          </cell>
          <cell r="F258">
            <v>54.103000000000002</v>
          </cell>
          <cell r="G258">
            <v>56.951000000000001</v>
          </cell>
          <cell r="H258">
            <v>58.09</v>
          </cell>
          <cell r="I258">
            <v>59.253</v>
          </cell>
          <cell r="J258">
            <v>60.436</v>
          </cell>
        </row>
        <row r="259">
          <cell r="A259" t="str">
            <v>53070C</v>
          </cell>
          <cell r="B259" t="str">
            <v>Director Oversight &amp; Eval-C</v>
          </cell>
          <cell r="C259" t="str">
            <v>CAP</v>
          </cell>
          <cell r="D259" t="str">
            <v>195</v>
          </cell>
          <cell r="F259">
            <v>63.957999999999998</v>
          </cell>
          <cell r="G259">
            <v>67.323999999999998</v>
          </cell>
          <cell r="H259">
            <v>68.67</v>
          </cell>
          <cell r="I259">
            <v>70.043999999999997</v>
          </cell>
          <cell r="J259">
            <v>71.444000000000003</v>
          </cell>
        </row>
        <row r="260">
          <cell r="A260" t="str">
            <v>C03462</v>
          </cell>
          <cell r="B260" t="str">
            <v>Director Planning &amp; Admin-C</v>
          </cell>
          <cell r="C260" t="str">
            <v>CAP</v>
          </cell>
          <cell r="D260" t="str">
            <v>84</v>
          </cell>
          <cell r="F260">
            <v>58.923999999999999</v>
          </cell>
          <cell r="G260">
            <v>62.024999999999999</v>
          </cell>
          <cell r="H260">
            <v>63.265000000000001</v>
          </cell>
          <cell r="I260">
            <v>64.531000000000006</v>
          </cell>
          <cell r="J260">
            <v>65.819999999999993</v>
          </cell>
        </row>
        <row r="261">
          <cell r="A261" t="str">
            <v>C03460</v>
          </cell>
          <cell r="B261" t="str">
            <v>Director Planning-C</v>
          </cell>
          <cell r="C261" t="str">
            <v>CAP</v>
          </cell>
          <cell r="D261" t="str">
            <v>101</v>
          </cell>
          <cell r="F261">
            <v>77.725999999999999</v>
          </cell>
          <cell r="G261">
            <v>81.816999999999993</v>
          </cell>
          <cell r="H261">
            <v>83.453999999999994</v>
          </cell>
          <cell r="I261">
            <v>85.123000000000005</v>
          </cell>
          <cell r="J261">
            <v>86.825999999999993</v>
          </cell>
        </row>
        <row r="262">
          <cell r="A262" t="str">
            <v>59491C</v>
          </cell>
          <cell r="B262" t="str">
            <v>Director Police Conduct Review</v>
          </cell>
          <cell r="C262" t="str">
            <v>CAP</v>
          </cell>
          <cell r="D262" t="str">
            <v>200</v>
          </cell>
          <cell r="F262">
            <v>67.492999999999995</v>
          </cell>
          <cell r="G262">
            <v>71.043999999999997</v>
          </cell>
          <cell r="H262">
            <v>72.465999999999994</v>
          </cell>
          <cell r="I262">
            <v>73.915000000000006</v>
          </cell>
          <cell r="J262">
            <v>75.393000000000001</v>
          </cell>
        </row>
        <row r="263">
          <cell r="A263" t="str">
            <v>53067C</v>
          </cell>
          <cell r="B263" t="str">
            <v>Director Policy &amp; Research-C</v>
          </cell>
          <cell r="C263" t="str">
            <v>CAP</v>
          </cell>
          <cell r="D263" t="str">
            <v>193</v>
          </cell>
          <cell r="F263">
            <v>63.957999999999998</v>
          </cell>
          <cell r="G263">
            <v>67.323999999999998</v>
          </cell>
          <cell r="H263">
            <v>68.67</v>
          </cell>
          <cell r="I263">
            <v>70.043999999999997</v>
          </cell>
          <cell r="J263">
            <v>71.444000000000003</v>
          </cell>
        </row>
        <row r="264">
          <cell r="A264" t="str">
            <v>C03490</v>
          </cell>
          <cell r="B264" t="str">
            <v>Director Procurement</v>
          </cell>
          <cell r="C264" t="str">
            <v>CAP</v>
          </cell>
          <cell r="D264" t="str">
            <v>49</v>
          </cell>
          <cell r="F264">
            <v>65.563999999999993</v>
          </cell>
          <cell r="G264">
            <v>69.013999999999996</v>
          </cell>
          <cell r="H264">
            <v>70.394999999999996</v>
          </cell>
          <cell r="I264">
            <v>71.802999999999997</v>
          </cell>
          <cell r="J264">
            <v>73.239000000000004</v>
          </cell>
        </row>
        <row r="265">
          <cell r="A265" t="str">
            <v>C03310</v>
          </cell>
          <cell r="B265" t="str">
            <v>Director Property Services -C</v>
          </cell>
          <cell r="C265" t="str">
            <v>CAP</v>
          </cell>
          <cell r="D265" t="str">
            <v>99</v>
          </cell>
          <cell r="F265">
            <v>71.242000000000004</v>
          </cell>
          <cell r="G265">
            <v>74.989999999999995</v>
          </cell>
          <cell r="H265">
            <v>76.491</v>
          </cell>
          <cell r="I265">
            <v>78.021000000000001</v>
          </cell>
          <cell r="J265">
            <v>79.581000000000003</v>
          </cell>
        </row>
        <row r="266">
          <cell r="A266" t="str">
            <v>59457C</v>
          </cell>
          <cell r="B266" t="str">
            <v>Director Prtnrshp &amp; Outrch - C</v>
          </cell>
          <cell r="C266" t="str">
            <v>CAP</v>
          </cell>
          <cell r="D266" t="str">
            <v>188</v>
          </cell>
          <cell r="F266">
            <v>48.962000000000003</v>
          </cell>
          <cell r="G266">
            <v>51.539000000000001</v>
          </cell>
          <cell r="H266">
            <v>52.57</v>
          </cell>
          <cell r="I266">
            <v>53.621000000000002</v>
          </cell>
          <cell r="J266">
            <v>54.694000000000003</v>
          </cell>
        </row>
        <row r="267">
          <cell r="A267" t="str">
            <v>C03466</v>
          </cell>
          <cell r="B267" t="str">
            <v>Director Pub Health Initiativs</v>
          </cell>
          <cell r="C267" t="str">
            <v>CAP</v>
          </cell>
          <cell r="D267" t="str">
            <v>75</v>
          </cell>
          <cell r="F267">
            <v>58.387999999999998</v>
          </cell>
          <cell r="G267">
            <v>61.460999999999999</v>
          </cell>
          <cell r="H267">
            <v>62.69</v>
          </cell>
          <cell r="I267">
            <v>63.944000000000003</v>
          </cell>
          <cell r="J267">
            <v>65.221999999999994</v>
          </cell>
        </row>
        <row r="268">
          <cell r="A268" t="str">
            <v>C01870</v>
          </cell>
          <cell r="B268" t="str">
            <v>Director Public Works (Appt)-C</v>
          </cell>
          <cell r="C268" t="str">
            <v>CAP</v>
          </cell>
          <cell r="D268" t="str">
            <v>72</v>
          </cell>
          <cell r="F268">
            <v>93.734999999999999</v>
          </cell>
          <cell r="G268">
            <v>98.668000000000006</v>
          </cell>
          <cell r="H268">
            <v>100.64100000000001</v>
          </cell>
          <cell r="I268">
            <v>102.654</v>
          </cell>
          <cell r="J268">
            <v>104.70699999999999</v>
          </cell>
        </row>
        <row r="269">
          <cell r="A269" t="str">
            <v>C00700</v>
          </cell>
          <cell r="B269" t="str">
            <v>Director Regulatory Services-C</v>
          </cell>
          <cell r="C269" t="str">
            <v>CAP</v>
          </cell>
          <cell r="D269" t="str">
            <v>142</v>
          </cell>
          <cell r="F269">
            <v>76.061000000000007</v>
          </cell>
          <cell r="G269">
            <v>80.063999999999993</v>
          </cell>
          <cell r="H269">
            <v>81.665000000000006</v>
          </cell>
          <cell r="I269">
            <v>83.299000000000007</v>
          </cell>
          <cell r="J269">
            <v>84.965000000000003</v>
          </cell>
        </row>
        <row r="270">
          <cell r="A270" t="str">
            <v>C03494</v>
          </cell>
          <cell r="B270" t="str">
            <v>Director Research &amp; Prgm Dv -C</v>
          </cell>
          <cell r="C270" t="str">
            <v>CAP</v>
          </cell>
          <cell r="D270" t="str">
            <v>32</v>
          </cell>
          <cell r="F270">
            <v>60.53</v>
          </cell>
          <cell r="G270">
            <v>63.716000000000001</v>
          </cell>
          <cell r="H270">
            <v>64.989999999999995</v>
          </cell>
          <cell r="I270">
            <v>66.290000000000006</v>
          </cell>
          <cell r="J270">
            <v>67.616</v>
          </cell>
        </row>
        <row r="271">
          <cell r="A271" t="str">
            <v>C03495</v>
          </cell>
          <cell r="B271" t="str">
            <v>Director Risk &amp; Claims Mgt -C</v>
          </cell>
          <cell r="C271" t="str">
            <v>CAP</v>
          </cell>
          <cell r="D271" t="str">
            <v>82</v>
          </cell>
          <cell r="F271">
            <v>57.853000000000002</v>
          </cell>
          <cell r="G271">
            <v>60.898000000000003</v>
          </cell>
          <cell r="H271">
            <v>62.115000000000002</v>
          </cell>
          <cell r="I271">
            <v>63.357999999999997</v>
          </cell>
          <cell r="J271">
            <v>64.625</v>
          </cell>
        </row>
        <row r="272">
          <cell r="A272" t="str">
            <v>C03510</v>
          </cell>
          <cell r="B272" t="str">
            <v>Director Solid Waste-C</v>
          </cell>
          <cell r="C272" t="str">
            <v>CAP</v>
          </cell>
          <cell r="D272" t="str">
            <v>55</v>
          </cell>
          <cell r="F272">
            <v>68.242000000000004</v>
          </cell>
          <cell r="G272">
            <v>71.834000000000003</v>
          </cell>
          <cell r="H272">
            <v>73.27</v>
          </cell>
          <cell r="I272">
            <v>74.734999999999999</v>
          </cell>
          <cell r="J272">
            <v>76.230999999999995</v>
          </cell>
        </row>
        <row r="273">
          <cell r="A273" t="str">
            <v>C03505</v>
          </cell>
          <cell r="B273" t="str">
            <v>Director Srfc Water &amp; Sewers-C</v>
          </cell>
          <cell r="C273" t="str">
            <v>CAP</v>
          </cell>
          <cell r="D273" t="str">
            <v>104</v>
          </cell>
          <cell r="F273">
            <v>73.918999999999997</v>
          </cell>
          <cell r="G273">
            <v>77.808999999999997</v>
          </cell>
          <cell r="H273">
            <v>79.366</v>
          </cell>
          <cell r="I273">
            <v>80.953000000000003</v>
          </cell>
          <cell r="J273">
            <v>82.572999999999993</v>
          </cell>
        </row>
        <row r="274">
          <cell r="A274" t="str">
            <v>C03525</v>
          </cell>
          <cell r="B274" t="str">
            <v>Director Strategic Employmnt-C</v>
          </cell>
          <cell r="C274" t="str">
            <v>CAP</v>
          </cell>
          <cell r="D274" t="str">
            <v>155</v>
          </cell>
          <cell r="F274">
            <v>67.171000000000006</v>
          </cell>
          <cell r="G274">
            <v>70.706000000000003</v>
          </cell>
          <cell r="H274">
            <v>72.12</v>
          </cell>
          <cell r="I274">
            <v>73.561999999999998</v>
          </cell>
          <cell r="J274">
            <v>75.034000000000006</v>
          </cell>
        </row>
        <row r="275">
          <cell r="A275" t="str">
            <v>C52283</v>
          </cell>
          <cell r="B275" t="str">
            <v>Director Strategic Prtnrship-C</v>
          </cell>
          <cell r="C275" t="str">
            <v>CAP</v>
          </cell>
          <cell r="D275" t="str">
            <v>64</v>
          </cell>
          <cell r="F275">
            <v>76.596999999999994</v>
          </cell>
          <cell r="G275">
            <v>80.628</v>
          </cell>
          <cell r="H275">
            <v>82.24</v>
          </cell>
          <cell r="I275">
            <v>83.885000000000005</v>
          </cell>
          <cell r="J275">
            <v>85.563999999999993</v>
          </cell>
        </row>
        <row r="276">
          <cell r="A276" t="str">
            <v>C03535</v>
          </cell>
          <cell r="B276" t="str">
            <v>Director Traffic Services-C</v>
          </cell>
          <cell r="C276" t="str">
            <v>CAP</v>
          </cell>
          <cell r="D276" t="str">
            <v>97</v>
          </cell>
          <cell r="F276">
            <v>71.991</v>
          </cell>
          <cell r="G276">
            <v>75.78</v>
          </cell>
          <cell r="H276">
            <v>77.296000000000006</v>
          </cell>
          <cell r="I276">
            <v>78.84</v>
          </cell>
          <cell r="J276">
            <v>80.418000000000006</v>
          </cell>
        </row>
        <row r="277">
          <cell r="A277" t="str">
            <v>C03240</v>
          </cell>
          <cell r="B277" t="str">
            <v>Director Trans, Plan &amp; Engn -C</v>
          </cell>
          <cell r="C277" t="str">
            <v>CAP</v>
          </cell>
          <cell r="D277" t="str">
            <v>116</v>
          </cell>
          <cell r="F277">
            <v>73.061999999999998</v>
          </cell>
          <cell r="G277">
            <v>76.906999999999996</v>
          </cell>
          <cell r="H277">
            <v>78.444999999999993</v>
          </cell>
          <cell r="I277">
            <v>80.015000000000001</v>
          </cell>
          <cell r="J277">
            <v>81.614999999999995</v>
          </cell>
        </row>
        <row r="278">
          <cell r="A278" t="str">
            <v>C03536</v>
          </cell>
          <cell r="B278" t="str">
            <v>Director Transp Mtc &amp; Repair-C</v>
          </cell>
          <cell r="C278" t="str">
            <v>CAP</v>
          </cell>
          <cell r="D278" t="str">
            <v>104</v>
          </cell>
          <cell r="F278">
            <v>73.918999999999997</v>
          </cell>
          <cell r="G278">
            <v>77.808999999999997</v>
          </cell>
          <cell r="H278">
            <v>79.366</v>
          </cell>
          <cell r="I278">
            <v>80.953000000000003</v>
          </cell>
          <cell r="J278">
            <v>82.572999999999993</v>
          </cell>
        </row>
        <row r="279">
          <cell r="A279" t="str">
            <v>C03537</v>
          </cell>
          <cell r="B279" t="str">
            <v>Director Treasury-C</v>
          </cell>
          <cell r="C279" t="str">
            <v>CAP</v>
          </cell>
          <cell r="D279" t="str">
            <v>92</v>
          </cell>
          <cell r="F279">
            <v>65.349999999999994</v>
          </cell>
          <cell r="G279">
            <v>68.790000000000006</v>
          </cell>
          <cell r="H279">
            <v>70.165000000000006</v>
          </cell>
          <cell r="I279">
            <v>71.567999999999998</v>
          </cell>
          <cell r="J279">
            <v>73</v>
          </cell>
        </row>
        <row r="280">
          <cell r="A280" t="str">
            <v>59499C</v>
          </cell>
          <cell r="B280" t="str">
            <v>Dpty Dir Cvl Rgts</v>
          </cell>
          <cell r="C280" t="str">
            <v>CAP</v>
          </cell>
          <cell r="D280" t="str">
            <v>173</v>
          </cell>
          <cell r="F280">
            <v>71.991</v>
          </cell>
          <cell r="G280">
            <v>75.78</v>
          </cell>
          <cell r="H280">
            <v>77.295000000000002</v>
          </cell>
          <cell r="I280">
            <v>78.840999999999994</v>
          </cell>
          <cell r="J280">
            <v>80.418000000000006</v>
          </cell>
        </row>
        <row r="281">
          <cell r="A281" t="str">
            <v>59219C</v>
          </cell>
          <cell r="B281" t="str">
            <v>Dpty Dir PW Business Admin-C</v>
          </cell>
          <cell r="C281" t="str">
            <v>CAP</v>
          </cell>
          <cell r="D281" t="str">
            <v>142</v>
          </cell>
          <cell r="F281">
            <v>76.061000000000007</v>
          </cell>
          <cell r="G281">
            <v>80.063999999999993</v>
          </cell>
          <cell r="H281">
            <v>81.665000000000006</v>
          </cell>
          <cell r="I281">
            <v>83.299000000000007</v>
          </cell>
          <cell r="J281">
            <v>84.965000000000003</v>
          </cell>
        </row>
        <row r="282">
          <cell r="A282" t="str">
            <v>59501C</v>
          </cell>
          <cell r="B282" t="str">
            <v>Dpty Dir Records Mgmt &amp; Data</v>
          </cell>
          <cell r="C282" t="str">
            <v>CAP</v>
          </cell>
          <cell r="D282" t="str">
            <v>206</v>
          </cell>
          <cell r="F282">
            <v>53.781999999999996</v>
          </cell>
          <cell r="G282">
            <v>56.613</v>
          </cell>
          <cell r="H282">
            <v>57.744999999999997</v>
          </cell>
          <cell r="I282">
            <v>58.9</v>
          </cell>
          <cell r="J282">
            <v>60.078000000000003</v>
          </cell>
        </row>
        <row r="283">
          <cell r="A283" t="str">
            <v>C08320</v>
          </cell>
          <cell r="B283" t="str">
            <v>Event Operations Manager-C</v>
          </cell>
          <cell r="C283" t="str">
            <v>CAP</v>
          </cell>
          <cell r="D283" t="str">
            <v>24</v>
          </cell>
          <cell r="F283">
            <v>56.246000000000002</v>
          </cell>
          <cell r="G283">
            <v>59.206000000000003</v>
          </cell>
          <cell r="H283">
            <v>60.389000000000003</v>
          </cell>
          <cell r="I283">
            <v>61.597999999999999</v>
          </cell>
          <cell r="J283">
            <v>62.83</v>
          </cell>
        </row>
        <row r="284">
          <cell r="A284" t="str">
            <v>C04233</v>
          </cell>
          <cell r="B284" t="str">
            <v>Event Services Manager-C</v>
          </cell>
          <cell r="C284" t="str">
            <v>CAP</v>
          </cell>
          <cell r="D284" t="str">
            <v>24</v>
          </cell>
          <cell r="F284">
            <v>56.246000000000002</v>
          </cell>
          <cell r="G284">
            <v>59.206000000000003</v>
          </cell>
          <cell r="H284">
            <v>60.389000000000003</v>
          </cell>
          <cell r="I284">
            <v>61.597999999999999</v>
          </cell>
          <cell r="J284">
            <v>62.83</v>
          </cell>
        </row>
        <row r="285">
          <cell r="A285" t="str">
            <v>C04298</v>
          </cell>
          <cell r="B285" t="str">
            <v>Facility Operations Manager-C</v>
          </cell>
          <cell r="C285" t="str">
            <v>CAP</v>
          </cell>
          <cell r="D285" t="str">
            <v>24</v>
          </cell>
          <cell r="F285">
            <v>56.246000000000002</v>
          </cell>
          <cell r="G285">
            <v>59.206000000000003</v>
          </cell>
          <cell r="H285">
            <v>60.389000000000003</v>
          </cell>
          <cell r="I285">
            <v>61.597999999999999</v>
          </cell>
          <cell r="J285">
            <v>62.83</v>
          </cell>
        </row>
        <row r="286">
          <cell r="A286" t="str">
            <v>C06710</v>
          </cell>
          <cell r="B286" t="str">
            <v>Finance Manager City-C</v>
          </cell>
          <cell r="C286" t="str">
            <v>CAP</v>
          </cell>
          <cell r="D286" t="str">
            <v>111</v>
          </cell>
          <cell r="F286">
            <v>55.174999999999997</v>
          </cell>
          <cell r="G286">
            <v>58.078000000000003</v>
          </cell>
          <cell r="H286">
            <v>59.24</v>
          </cell>
          <cell r="I286">
            <v>60.424999999999997</v>
          </cell>
          <cell r="J286">
            <v>61.633000000000003</v>
          </cell>
        </row>
        <row r="287">
          <cell r="A287" t="str">
            <v>C01720</v>
          </cell>
          <cell r="B287" t="str">
            <v>Fire Chief</v>
          </cell>
          <cell r="C287" t="str">
            <v>CAP</v>
          </cell>
          <cell r="D287" t="str">
            <v>109</v>
          </cell>
          <cell r="F287">
            <v>80.881</v>
          </cell>
          <cell r="G287">
            <v>85.137</v>
          </cell>
          <cell r="H287">
            <v>86.840999999999994</v>
          </cell>
          <cell r="I287">
            <v>88.578000000000003</v>
          </cell>
          <cell r="J287">
            <v>90.349000000000004</v>
          </cell>
        </row>
        <row r="288">
          <cell r="A288" t="str">
            <v>C04237</v>
          </cell>
          <cell r="B288" t="str">
            <v>GM Mpls Conv Center-C</v>
          </cell>
          <cell r="C288" t="str">
            <v>CAP</v>
          </cell>
          <cell r="D288" t="str">
            <v>61</v>
          </cell>
          <cell r="F288">
            <v>100.464</v>
          </cell>
          <cell r="G288">
            <v>105.751</v>
          </cell>
          <cell r="H288">
            <v>107.86499999999999</v>
          </cell>
          <cell r="I288">
            <v>110.023</v>
          </cell>
          <cell r="J288">
            <v>106.61</v>
          </cell>
        </row>
        <row r="289">
          <cell r="A289" t="str">
            <v>C05290</v>
          </cell>
          <cell r="B289" t="str">
            <v>Government Relations Rep-C</v>
          </cell>
          <cell r="C289" t="str">
            <v>CAP</v>
          </cell>
          <cell r="D289" t="str">
            <v>35</v>
          </cell>
          <cell r="F289">
            <v>58.066000000000003</v>
          </cell>
          <cell r="G289">
            <v>61.122999999999998</v>
          </cell>
          <cell r="H289">
            <v>62.344999999999999</v>
          </cell>
          <cell r="I289">
            <v>63.591999999999999</v>
          </cell>
          <cell r="J289">
            <v>64.864000000000004</v>
          </cell>
        </row>
        <row r="290">
          <cell r="A290" t="str">
            <v>C05350</v>
          </cell>
          <cell r="B290" t="str">
            <v>Guest Services Manager-C</v>
          </cell>
          <cell r="C290" t="str">
            <v>CAP</v>
          </cell>
          <cell r="D290" t="str">
            <v>24</v>
          </cell>
          <cell r="F290">
            <v>56.246000000000002</v>
          </cell>
          <cell r="G290">
            <v>59.206000000000003</v>
          </cell>
          <cell r="H290">
            <v>60.389000000000003</v>
          </cell>
          <cell r="I290">
            <v>61.597999999999999</v>
          </cell>
          <cell r="J290">
            <v>62.83</v>
          </cell>
        </row>
        <row r="291">
          <cell r="A291" t="str">
            <v>C05450</v>
          </cell>
          <cell r="B291" t="str">
            <v>HR Manager I</v>
          </cell>
          <cell r="C291" t="str">
            <v>CAP</v>
          </cell>
          <cell r="D291" t="str">
            <v>149</v>
          </cell>
          <cell r="F291">
            <v>56.927999999999997</v>
          </cell>
          <cell r="G291">
            <v>59.923999999999999</v>
          </cell>
          <cell r="H291">
            <v>61.122999999999998</v>
          </cell>
          <cell r="I291">
            <v>62.344999999999999</v>
          </cell>
          <cell r="J291">
            <v>63.591000000000001</v>
          </cell>
        </row>
        <row r="292">
          <cell r="A292" t="str">
            <v>C05451</v>
          </cell>
          <cell r="B292" t="str">
            <v>HR Manager II</v>
          </cell>
          <cell r="C292" t="str">
            <v>CAP</v>
          </cell>
          <cell r="D292" t="str">
            <v>177</v>
          </cell>
          <cell r="F292">
            <v>57.506</v>
          </cell>
          <cell r="G292">
            <v>60.533000000000001</v>
          </cell>
          <cell r="H292">
            <v>61.743000000000002</v>
          </cell>
          <cell r="I292">
            <v>62.978000000000002</v>
          </cell>
          <cell r="J292">
            <v>64.239000000000004</v>
          </cell>
        </row>
        <row r="293">
          <cell r="A293" t="str">
            <v>C05893</v>
          </cell>
          <cell r="B293" t="str">
            <v>HR Principal LR Rep</v>
          </cell>
          <cell r="C293" t="str">
            <v>CAP</v>
          </cell>
          <cell r="D293" t="str">
            <v>176</v>
          </cell>
          <cell r="F293">
            <v>57.853000000000002</v>
          </cell>
          <cell r="G293">
            <v>60.899000000000001</v>
          </cell>
          <cell r="H293">
            <v>62.115000000000002</v>
          </cell>
          <cell r="I293">
            <v>63.357999999999997</v>
          </cell>
          <cell r="J293">
            <v>64.626000000000005</v>
          </cell>
        </row>
        <row r="294">
          <cell r="A294" t="str">
            <v>59410C</v>
          </cell>
          <cell r="B294" t="str">
            <v>Inspection Services Dir-C</v>
          </cell>
          <cell r="C294" t="str">
            <v>CAP</v>
          </cell>
          <cell r="D294" t="str">
            <v>122</v>
          </cell>
          <cell r="F294">
            <v>67.706000000000003</v>
          </cell>
          <cell r="G294">
            <v>71.27</v>
          </cell>
          <cell r="H294">
            <v>72.694999999999993</v>
          </cell>
          <cell r="I294">
            <v>74.149000000000001</v>
          </cell>
          <cell r="J294">
            <v>75.632000000000005</v>
          </cell>
        </row>
        <row r="295">
          <cell r="A295" t="str">
            <v>C06550</v>
          </cell>
          <cell r="B295" t="str">
            <v>Manager Admin &amp; Persnl (PW)-C</v>
          </cell>
          <cell r="C295" t="str">
            <v>CAP</v>
          </cell>
          <cell r="D295" t="str">
            <v>26</v>
          </cell>
          <cell r="F295">
            <v>53.567</v>
          </cell>
          <cell r="G295">
            <v>56.387999999999998</v>
          </cell>
          <cell r="H295">
            <v>57.514000000000003</v>
          </cell>
          <cell r="I295">
            <v>58.664999999999999</v>
          </cell>
          <cell r="J295">
            <v>59.838999999999999</v>
          </cell>
        </row>
        <row r="296">
          <cell r="A296" t="str">
            <v>C06709</v>
          </cell>
          <cell r="B296" t="str">
            <v>Manager Convention Center-C</v>
          </cell>
          <cell r="C296" t="str">
            <v>CAP</v>
          </cell>
          <cell r="D296" t="str">
            <v>24</v>
          </cell>
          <cell r="F296">
            <v>56.246000000000002</v>
          </cell>
          <cell r="G296">
            <v>59.206000000000003</v>
          </cell>
          <cell r="H296">
            <v>60.389000000000003</v>
          </cell>
          <cell r="I296">
            <v>61.597999999999999</v>
          </cell>
          <cell r="J296">
            <v>62.83</v>
          </cell>
        </row>
        <row r="297">
          <cell r="A297" t="str">
            <v>C06685</v>
          </cell>
          <cell r="B297" t="str">
            <v>Manager Field Support-C</v>
          </cell>
          <cell r="C297" t="str">
            <v>CAP</v>
          </cell>
          <cell r="D297" t="str">
            <v>26</v>
          </cell>
          <cell r="F297">
            <v>53.567</v>
          </cell>
          <cell r="G297">
            <v>56.387999999999998</v>
          </cell>
          <cell r="H297">
            <v>57.514000000000003</v>
          </cell>
          <cell r="I297">
            <v>58.664999999999999</v>
          </cell>
          <cell r="J297">
            <v>59.838999999999999</v>
          </cell>
        </row>
        <row r="298">
          <cell r="A298" t="str">
            <v>C06725</v>
          </cell>
          <cell r="B298" t="str">
            <v>Manager Public Wrks Finance-C</v>
          </cell>
          <cell r="C298" t="str">
            <v>CAP</v>
          </cell>
          <cell r="D298" t="str">
            <v>138</v>
          </cell>
          <cell r="F298">
            <v>54.853999999999999</v>
          </cell>
          <cell r="G298">
            <v>57.741</v>
          </cell>
          <cell r="H298">
            <v>58.895000000000003</v>
          </cell>
          <cell r="I298">
            <v>60.072000000000003</v>
          </cell>
          <cell r="J298">
            <v>61.274999999999999</v>
          </cell>
        </row>
        <row r="299">
          <cell r="A299" t="str">
            <v>C03182</v>
          </cell>
          <cell r="B299" t="str">
            <v>Manager, Budget Info &amp; Anly -C</v>
          </cell>
          <cell r="C299" t="str">
            <v>CAP</v>
          </cell>
          <cell r="D299" t="str">
            <v>115</v>
          </cell>
          <cell r="F299">
            <v>54.103000000000002</v>
          </cell>
          <cell r="G299">
            <v>56.951000000000001</v>
          </cell>
          <cell r="H299">
            <v>58.09</v>
          </cell>
          <cell r="I299">
            <v>59.253</v>
          </cell>
          <cell r="J299">
            <v>60.436</v>
          </cell>
        </row>
        <row r="300">
          <cell r="A300" t="str">
            <v>53073C</v>
          </cell>
          <cell r="B300" t="str">
            <v>Managing Attorney-C</v>
          </cell>
          <cell r="C300" t="str">
            <v>CAP</v>
          </cell>
          <cell r="D300" t="str">
            <v>196</v>
          </cell>
          <cell r="F300">
            <v>77.055000000000007</v>
          </cell>
          <cell r="G300">
            <v>81.113</v>
          </cell>
          <cell r="H300">
            <v>82.734999999999999</v>
          </cell>
          <cell r="I300">
            <v>84.39</v>
          </cell>
          <cell r="J300">
            <v>86.076999999999998</v>
          </cell>
        </row>
        <row r="301">
          <cell r="A301" t="str">
            <v>53037C</v>
          </cell>
          <cell r="B301" t="str">
            <v>Managing Attorney-Implemntn-C</v>
          </cell>
          <cell r="C301" t="str">
            <v>CAP</v>
          </cell>
          <cell r="D301" t="str">
            <v>196</v>
          </cell>
          <cell r="F301">
            <v>77.055000000000007</v>
          </cell>
          <cell r="G301">
            <v>81.113</v>
          </cell>
          <cell r="H301">
            <v>82.734999999999999</v>
          </cell>
          <cell r="I301">
            <v>84.39</v>
          </cell>
          <cell r="J301">
            <v>86.076999999999998</v>
          </cell>
        </row>
        <row r="302">
          <cell r="A302" t="str">
            <v>59494C</v>
          </cell>
          <cell r="B302" t="str">
            <v>Managing Attorney-Labor &amp; Empl</v>
          </cell>
          <cell r="C302" t="str">
            <v>CAP</v>
          </cell>
          <cell r="D302" t="str">
            <v>204</v>
          </cell>
          <cell r="F302">
            <v>80.908000000000001</v>
          </cell>
          <cell r="G302">
            <v>85.168000000000006</v>
          </cell>
          <cell r="H302">
            <v>86.870999999999995</v>
          </cell>
          <cell r="I302">
            <v>88.61</v>
          </cell>
          <cell r="J302">
            <v>90.381</v>
          </cell>
        </row>
        <row r="303">
          <cell r="A303" t="str">
            <v>C06545</v>
          </cell>
          <cell r="B303" t="str">
            <v>Mgr Assessment Srv (Appointed)</v>
          </cell>
          <cell r="C303" t="str">
            <v>CAP</v>
          </cell>
          <cell r="D303" t="str">
            <v>75</v>
          </cell>
          <cell r="F303">
            <v>58.387999999999998</v>
          </cell>
          <cell r="G303">
            <v>61.460999999999999</v>
          </cell>
          <cell r="H303">
            <v>62.69</v>
          </cell>
          <cell r="I303">
            <v>63.944000000000003</v>
          </cell>
          <cell r="J303">
            <v>65.221999999999994</v>
          </cell>
        </row>
        <row r="304">
          <cell r="A304" t="str">
            <v>C06705</v>
          </cell>
          <cell r="B304" t="str">
            <v>Mgr Benefits Administration -C</v>
          </cell>
          <cell r="C304" t="str">
            <v>CAP</v>
          </cell>
          <cell r="D304" t="str">
            <v>139</v>
          </cell>
          <cell r="F304">
            <v>62.673000000000002</v>
          </cell>
          <cell r="G304">
            <v>65.971000000000004</v>
          </cell>
          <cell r="H304">
            <v>67.290000000000006</v>
          </cell>
          <cell r="I304">
            <v>68.635999999999996</v>
          </cell>
          <cell r="J304">
            <v>70.007999999999996</v>
          </cell>
        </row>
        <row r="305">
          <cell r="A305" t="str">
            <v>C06740</v>
          </cell>
          <cell r="B305" t="str">
            <v>Mgr Homelessness Initiatives-C</v>
          </cell>
          <cell r="C305" t="str">
            <v>CAP</v>
          </cell>
          <cell r="D305" t="str">
            <v>160</v>
          </cell>
          <cell r="F305">
            <v>61.28</v>
          </cell>
          <cell r="G305">
            <v>64.504999999999995</v>
          </cell>
          <cell r="H305">
            <v>65.795000000000002</v>
          </cell>
          <cell r="I305">
            <v>67.111999999999995</v>
          </cell>
          <cell r="J305">
            <v>68.453000000000003</v>
          </cell>
        </row>
        <row r="306">
          <cell r="A306" t="str">
            <v>59444C</v>
          </cell>
          <cell r="B306" t="str">
            <v>Payroll Director-C</v>
          </cell>
          <cell r="C306" t="str">
            <v>CAP</v>
          </cell>
          <cell r="D306" t="str">
            <v>32</v>
          </cell>
          <cell r="F306">
            <v>60.53</v>
          </cell>
          <cell r="G306">
            <v>63.716000000000001</v>
          </cell>
          <cell r="H306">
            <v>64.989999999999995</v>
          </cell>
          <cell r="I306">
            <v>66.290000000000006</v>
          </cell>
          <cell r="J306">
            <v>67.616</v>
          </cell>
        </row>
        <row r="307">
          <cell r="A307" t="str">
            <v>C08110</v>
          </cell>
          <cell r="B307" t="str">
            <v>Police Deputy Chief Admin Sv-C</v>
          </cell>
          <cell r="C307" t="str">
            <v>CAP</v>
          </cell>
          <cell r="D307" t="str">
            <v>186</v>
          </cell>
          <cell r="F307">
            <v>79.715000000000003</v>
          </cell>
          <cell r="G307">
            <v>83.911000000000001</v>
          </cell>
          <cell r="H307">
            <v>85.59</v>
          </cell>
          <cell r="I307">
            <v>87.301000000000002</v>
          </cell>
          <cell r="J307">
            <v>89.046999999999997</v>
          </cell>
        </row>
        <row r="308">
          <cell r="A308" t="str">
            <v>C08120</v>
          </cell>
          <cell r="B308" t="str">
            <v>Police Deputy Chief Investgn-C</v>
          </cell>
          <cell r="C308" t="str">
            <v>CAP</v>
          </cell>
          <cell r="D308" t="str">
            <v>186</v>
          </cell>
          <cell r="F308">
            <v>79.715000000000003</v>
          </cell>
          <cell r="G308">
            <v>83.911000000000001</v>
          </cell>
          <cell r="H308">
            <v>85.59</v>
          </cell>
          <cell r="I308">
            <v>87.301000000000002</v>
          </cell>
          <cell r="J308">
            <v>89.046999999999997</v>
          </cell>
        </row>
        <row r="309">
          <cell r="A309" t="str">
            <v>59455C</v>
          </cell>
          <cell r="B309" t="str">
            <v>Policy Rfrm &amp; Impl Sr Adv</v>
          </cell>
          <cell r="C309" t="str">
            <v>CAP</v>
          </cell>
          <cell r="D309" t="str">
            <v>62</v>
          </cell>
          <cell r="F309">
            <v>77.132000000000005</v>
          </cell>
          <cell r="G309">
            <v>81.191999999999993</v>
          </cell>
          <cell r="H309">
            <v>82.816999999999993</v>
          </cell>
          <cell r="I309">
            <v>84.471999999999994</v>
          </cell>
          <cell r="J309">
            <v>86.162000000000006</v>
          </cell>
        </row>
        <row r="310">
          <cell r="A310" t="str">
            <v>59439C</v>
          </cell>
          <cell r="B310" t="str">
            <v>REIB Deputy Director - C</v>
          </cell>
          <cell r="C310" t="str">
            <v>CAP</v>
          </cell>
          <cell r="D310" t="str">
            <v>167</v>
          </cell>
          <cell r="F310">
            <v>59.435000000000002</v>
          </cell>
          <cell r="G310">
            <v>62.563000000000002</v>
          </cell>
          <cell r="H310">
            <v>63.814</v>
          </cell>
          <cell r="I310">
            <v>65.09</v>
          </cell>
          <cell r="J310">
            <v>66.391999999999996</v>
          </cell>
        </row>
        <row r="311">
          <cell r="A311" t="str">
            <v>C09171</v>
          </cell>
          <cell r="B311" t="str">
            <v>Senior Gov Relation Rep - Appt</v>
          </cell>
          <cell r="C311" t="str">
            <v>CAP</v>
          </cell>
          <cell r="D311" t="str">
            <v>48</v>
          </cell>
          <cell r="F311">
            <v>61.814999999999998</v>
          </cell>
          <cell r="G311">
            <v>65.069000000000003</v>
          </cell>
          <cell r="H311">
            <v>66.37</v>
          </cell>
          <cell r="I311">
            <v>67.697000000000003</v>
          </cell>
          <cell r="J311">
            <v>69.051000000000002</v>
          </cell>
        </row>
        <row r="312">
          <cell r="A312" t="str">
            <v>59405C</v>
          </cell>
          <cell r="B312" t="str">
            <v>Service Center Director</v>
          </cell>
          <cell r="C312" t="str">
            <v>CAP</v>
          </cell>
          <cell r="D312" t="str">
            <v>122</v>
          </cell>
          <cell r="F312">
            <v>67.706000000000003</v>
          </cell>
          <cell r="G312">
            <v>71.27</v>
          </cell>
          <cell r="H312">
            <v>72.694999999999993</v>
          </cell>
          <cell r="I312">
            <v>74.149000000000001</v>
          </cell>
          <cell r="J312">
            <v>75.632000000000005</v>
          </cell>
        </row>
        <row r="313">
          <cell r="A313" t="str">
            <v>52953C</v>
          </cell>
          <cell r="B313" t="str">
            <v>Sr Mgr Banking, Invest, Debt-C</v>
          </cell>
          <cell r="C313" t="str">
            <v>CAP</v>
          </cell>
          <cell r="D313" t="str">
            <v>199</v>
          </cell>
          <cell r="F313">
            <v>55.71</v>
          </cell>
          <cell r="G313">
            <v>58.642000000000003</v>
          </cell>
          <cell r="H313">
            <v>59.814999999999998</v>
          </cell>
          <cell r="I313">
            <v>61.011000000000003</v>
          </cell>
          <cell r="J313">
            <v>62.231000000000002</v>
          </cell>
        </row>
        <row r="314">
          <cell r="A314" t="str">
            <v>C09177</v>
          </cell>
          <cell r="B314" t="str">
            <v>Sr Mgr Trnst Ornt  Dev CPED-C</v>
          </cell>
          <cell r="C314" t="str">
            <v>CAP</v>
          </cell>
          <cell r="D314" t="str">
            <v>100</v>
          </cell>
          <cell r="F314">
            <v>65.885999999999996</v>
          </cell>
          <cell r="G314">
            <v>69.352999999999994</v>
          </cell>
          <cell r="H314">
            <v>70.739999999999995</v>
          </cell>
          <cell r="I314">
            <v>72.155000000000001</v>
          </cell>
          <cell r="J314">
            <v>73.597999999999999</v>
          </cell>
        </row>
        <row r="315">
          <cell r="A315" t="str">
            <v>59442C</v>
          </cell>
          <cell r="B315" t="str">
            <v>Workforce Director - Health-C</v>
          </cell>
          <cell r="C315" t="str">
            <v>CAP</v>
          </cell>
          <cell r="D315" t="str">
            <v>169</v>
          </cell>
          <cell r="F315">
            <v>57.32</v>
          </cell>
          <cell r="G315">
            <v>60.337000000000003</v>
          </cell>
          <cell r="H315">
            <v>61.542999999999999</v>
          </cell>
          <cell r="I315">
            <v>62.774000000000001</v>
          </cell>
          <cell r="J315">
            <v>64.03</v>
          </cell>
        </row>
        <row r="316">
          <cell r="A316" t="str">
            <v>00630C</v>
          </cell>
          <cell r="B316" t="str">
            <v>Assistant City Attorney-C</v>
          </cell>
          <cell r="C316" t="str">
            <v>CAT</v>
          </cell>
          <cell r="D316" t="str">
            <v>1</v>
          </cell>
          <cell r="F316">
            <v>55.575000000000003</v>
          </cell>
          <cell r="G316">
            <v>58.029000000000003</v>
          </cell>
          <cell r="H316">
            <v>60.664999999999999</v>
          </cell>
          <cell r="I316">
            <v>63.515000000000001</v>
          </cell>
          <cell r="J316">
            <v>65.132999999999996</v>
          </cell>
        </row>
        <row r="317">
          <cell r="A317" t="str">
            <v>00670C</v>
          </cell>
          <cell r="B317" t="str">
            <v>Lead Assistant City Attorney-C</v>
          </cell>
          <cell r="C317" t="str">
            <v>CAT</v>
          </cell>
          <cell r="D317" t="str">
            <v>3</v>
          </cell>
          <cell r="F317">
            <v>66.504999999999995</v>
          </cell>
          <cell r="G317">
            <v>69.536000000000001</v>
          </cell>
          <cell r="H317">
            <v>72.804000000000002</v>
          </cell>
          <cell r="I317">
            <v>76.212000000000003</v>
          </cell>
          <cell r="J317">
            <v>79.896000000000001</v>
          </cell>
        </row>
        <row r="318">
          <cell r="A318" t="str">
            <v>00650C</v>
          </cell>
          <cell r="B318" t="str">
            <v>Sr Assistant City Attorney-C</v>
          </cell>
          <cell r="C318" t="str">
            <v>CAT</v>
          </cell>
          <cell r="D318" t="str">
            <v>2</v>
          </cell>
          <cell r="F318">
            <v>63.427</v>
          </cell>
          <cell r="G318">
            <v>66.308000000000007</v>
          </cell>
          <cell r="H318">
            <v>69.387</v>
          </cell>
          <cell r="I318">
            <v>72.664000000000001</v>
          </cell>
          <cell r="J318">
            <v>76.061000000000007</v>
          </cell>
        </row>
        <row r="319">
          <cell r="A319" t="str">
            <v>52939C</v>
          </cell>
          <cell r="B319" t="str">
            <v>Sr Water Distribution Operator</v>
          </cell>
          <cell r="C319" t="str">
            <v>CAW</v>
          </cell>
          <cell r="D319" t="str">
            <v>02</v>
          </cell>
          <cell r="F319">
            <v>30.449000000000002</v>
          </cell>
          <cell r="G319">
            <v>31.898</v>
          </cell>
          <cell r="H319">
            <v>33.417000000000002</v>
          </cell>
          <cell r="I319">
            <v>35.009</v>
          </cell>
        </row>
        <row r="320">
          <cell r="A320" t="str">
            <v>52917C</v>
          </cell>
          <cell r="B320" t="str">
            <v>Water Distr Operator Trainee</v>
          </cell>
          <cell r="C320" t="str">
            <v>CAW</v>
          </cell>
          <cell r="D320" t="str">
            <v>04</v>
          </cell>
          <cell r="F320">
            <v>21.097999999999999</v>
          </cell>
          <cell r="G320">
            <v>23.35</v>
          </cell>
        </row>
        <row r="321">
          <cell r="A321" t="str">
            <v>52938C</v>
          </cell>
          <cell r="B321" t="str">
            <v>Water Distribution Operator</v>
          </cell>
          <cell r="C321" t="str">
            <v>CAW</v>
          </cell>
          <cell r="D321" t="str">
            <v>01</v>
          </cell>
          <cell r="F321">
            <v>28.552</v>
          </cell>
          <cell r="G321">
            <v>29.966000000000001</v>
          </cell>
          <cell r="H321">
            <v>31.452000000000002</v>
          </cell>
          <cell r="I321">
            <v>33.012999999999998</v>
          </cell>
        </row>
        <row r="322">
          <cell r="A322" t="str">
            <v>59489C</v>
          </cell>
          <cell r="B322" t="str">
            <v>Water Loss &amp; Svc Connct Insp-C</v>
          </cell>
          <cell r="C322" t="str">
            <v>CAW</v>
          </cell>
          <cell r="D322" t="str">
            <v>10</v>
          </cell>
          <cell r="F322">
            <v>35.002000000000002</v>
          </cell>
          <cell r="G322">
            <v>0</v>
          </cell>
          <cell r="H322">
            <v>0</v>
          </cell>
          <cell r="I322">
            <v>40.825000000000003</v>
          </cell>
        </row>
        <row r="323">
          <cell r="A323" t="str">
            <v>52951C</v>
          </cell>
          <cell r="B323" t="str">
            <v>Water Loss Specialist</v>
          </cell>
          <cell r="C323" t="str">
            <v>CAW</v>
          </cell>
          <cell r="D323" t="str">
            <v>09</v>
          </cell>
          <cell r="F323">
            <v>33.822000000000003</v>
          </cell>
          <cell r="G323">
            <v>35.390999999999998</v>
          </cell>
          <cell r="H323">
            <v>37.040999999999997</v>
          </cell>
          <cell r="I323">
            <v>38.771000000000001</v>
          </cell>
        </row>
        <row r="324">
          <cell r="A324" t="str">
            <v>05670C</v>
          </cell>
          <cell r="B324" t="str">
            <v>Bldg Insp Wrm Air Htg/AC/Vnt-C</v>
          </cell>
          <cell r="C324" t="str">
            <v>CBI</v>
          </cell>
          <cell r="D324" t="str">
            <v>1</v>
          </cell>
          <cell r="F324">
            <v>49.591000000000001</v>
          </cell>
        </row>
        <row r="325">
          <cell r="A325" t="str">
            <v>05470C</v>
          </cell>
          <cell r="B325" t="str">
            <v>Bldg Inspector Building-C</v>
          </cell>
          <cell r="C325" t="str">
            <v>CBI</v>
          </cell>
          <cell r="D325" t="str">
            <v>1</v>
          </cell>
          <cell r="F325">
            <v>49.591000000000001</v>
          </cell>
        </row>
        <row r="326">
          <cell r="A326" t="str">
            <v>05490C</v>
          </cell>
          <cell r="B326" t="str">
            <v>Bldg Inspector Elevator-C</v>
          </cell>
          <cell r="C326" t="str">
            <v>CBI</v>
          </cell>
          <cell r="D326" t="str">
            <v>7</v>
          </cell>
          <cell r="F326">
            <v>54.045999999999999</v>
          </cell>
        </row>
        <row r="327">
          <cell r="A327" t="str">
            <v>05560C</v>
          </cell>
          <cell r="B327" t="str">
            <v>Bldg Inspector Pipe Trades-C</v>
          </cell>
          <cell r="C327" t="str">
            <v>CBI</v>
          </cell>
          <cell r="D327" t="str">
            <v>4</v>
          </cell>
          <cell r="F327">
            <v>47.261000000000003</v>
          </cell>
        </row>
        <row r="328">
          <cell r="A328" t="str">
            <v>05610C</v>
          </cell>
          <cell r="B328" t="str">
            <v>Bldg Inspector Plumbing-C</v>
          </cell>
          <cell r="C328" t="str">
            <v>CBI</v>
          </cell>
          <cell r="D328" t="str">
            <v>4</v>
          </cell>
          <cell r="F328">
            <v>47.261000000000003</v>
          </cell>
        </row>
        <row r="329">
          <cell r="A329" t="str">
            <v>05990C</v>
          </cell>
          <cell r="B329" t="str">
            <v>Lead Bld Inspector Pipe Trds-C</v>
          </cell>
          <cell r="C329" t="str">
            <v>CBI</v>
          </cell>
          <cell r="D329" t="str">
            <v>5</v>
          </cell>
          <cell r="F329">
            <v>53.070999999999998</v>
          </cell>
        </row>
        <row r="330">
          <cell r="A330" t="str">
            <v>05960C</v>
          </cell>
          <cell r="B330" t="str">
            <v>Lead Bldg Inspector Building-C</v>
          </cell>
          <cell r="C330" t="str">
            <v>CBI</v>
          </cell>
          <cell r="D330" t="str">
            <v>2</v>
          </cell>
          <cell r="F330">
            <v>55.401000000000003</v>
          </cell>
        </row>
        <row r="331">
          <cell r="A331" t="str">
            <v>05959C</v>
          </cell>
          <cell r="B331" t="str">
            <v>Lead Bldg Inspector Elevator-C</v>
          </cell>
          <cell r="C331" t="str">
            <v>CBI</v>
          </cell>
          <cell r="D331" t="str">
            <v>2</v>
          </cell>
          <cell r="F331">
            <v>55.401000000000003</v>
          </cell>
        </row>
        <row r="332">
          <cell r="A332" t="str">
            <v>06000C</v>
          </cell>
          <cell r="B332" t="str">
            <v>Lead Bldg Inspector Plumbing-C</v>
          </cell>
          <cell r="C332" t="str">
            <v>CBI</v>
          </cell>
          <cell r="D332" t="str">
            <v>5</v>
          </cell>
          <cell r="F332">
            <v>53.070999999999998</v>
          </cell>
        </row>
        <row r="333">
          <cell r="A333" t="str">
            <v>06010C</v>
          </cell>
          <cell r="B333" t="str">
            <v>Lead Bldg Inspector WAH/AC/V-C</v>
          </cell>
          <cell r="C333" t="str">
            <v>CBI</v>
          </cell>
          <cell r="D333" t="str">
            <v>2</v>
          </cell>
          <cell r="F333">
            <v>55.401000000000003</v>
          </cell>
        </row>
        <row r="334">
          <cell r="A334" t="str">
            <v>09179C</v>
          </cell>
          <cell r="B334" t="str">
            <v>Sr Bldg Inspector Building-C</v>
          </cell>
          <cell r="C334" t="str">
            <v>CBI</v>
          </cell>
          <cell r="D334" t="str">
            <v>7</v>
          </cell>
          <cell r="F334">
            <v>54.045999999999999</v>
          </cell>
        </row>
        <row r="335">
          <cell r="A335" t="str">
            <v>09182C</v>
          </cell>
          <cell r="B335" t="str">
            <v>Sr Bldg Inspector Pipe Trds-C</v>
          </cell>
          <cell r="C335" t="str">
            <v>CBI</v>
          </cell>
          <cell r="D335" t="str">
            <v>8</v>
          </cell>
          <cell r="F335">
            <v>51.716000000000001</v>
          </cell>
        </row>
        <row r="336">
          <cell r="A336" t="str">
            <v>09183C</v>
          </cell>
          <cell r="B336" t="str">
            <v>Sr Bldg Inspector Plumbing-C</v>
          </cell>
          <cell r="C336" t="str">
            <v>CBI</v>
          </cell>
          <cell r="D336" t="str">
            <v>8</v>
          </cell>
          <cell r="F336">
            <v>51.716000000000001</v>
          </cell>
        </row>
        <row r="337">
          <cell r="A337" t="str">
            <v>09202C</v>
          </cell>
          <cell r="B337" t="str">
            <v>Sr Bldg Inspector WAH/AC/V-C</v>
          </cell>
          <cell r="C337" t="str">
            <v>CBI</v>
          </cell>
          <cell r="D337" t="str">
            <v>7</v>
          </cell>
          <cell r="F337">
            <v>54.045999999999999</v>
          </cell>
        </row>
        <row r="338">
          <cell r="A338" t="str">
            <v>01400C</v>
          </cell>
          <cell r="B338" t="str">
            <v>Bricklayer-C</v>
          </cell>
          <cell r="C338" t="str">
            <v>CBT</v>
          </cell>
          <cell r="D338" t="str">
            <v>06</v>
          </cell>
          <cell r="F338">
            <v>46.9</v>
          </cell>
        </row>
        <row r="339">
          <cell r="A339" t="str">
            <v>01510C</v>
          </cell>
          <cell r="B339" t="str">
            <v>Carpenter-C</v>
          </cell>
          <cell r="C339" t="str">
            <v>CBT</v>
          </cell>
          <cell r="D339" t="str">
            <v>04</v>
          </cell>
          <cell r="F339">
            <v>45.5</v>
          </cell>
        </row>
        <row r="340">
          <cell r="A340" t="str">
            <v>04530C</v>
          </cell>
          <cell r="B340" t="str">
            <v>Foreman Bricklayer-C</v>
          </cell>
          <cell r="C340" t="str">
            <v>CBT</v>
          </cell>
          <cell r="D340" t="str">
            <v>07</v>
          </cell>
          <cell r="F340">
            <v>51.6</v>
          </cell>
        </row>
        <row r="341">
          <cell r="A341" t="str">
            <v>04560C</v>
          </cell>
          <cell r="B341" t="str">
            <v>Foreman Carpenter-C</v>
          </cell>
          <cell r="C341" t="str">
            <v>CBT</v>
          </cell>
          <cell r="D341" t="str">
            <v>05</v>
          </cell>
          <cell r="F341">
            <v>48.28</v>
          </cell>
        </row>
        <row r="342">
          <cell r="A342" t="str">
            <v>04680C</v>
          </cell>
          <cell r="B342" t="str">
            <v>Foreman Iron Worker-C</v>
          </cell>
          <cell r="C342" t="str">
            <v>CBT</v>
          </cell>
          <cell r="D342" t="str">
            <v>09</v>
          </cell>
          <cell r="F342">
            <v>54.82</v>
          </cell>
        </row>
        <row r="343">
          <cell r="A343" t="str">
            <v>04760C</v>
          </cell>
          <cell r="B343" t="str">
            <v>Foreman Painter-C</v>
          </cell>
          <cell r="C343" t="str">
            <v>CBT</v>
          </cell>
          <cell r="D343" t="str">
            <v>03</v>
          </cell>
          <cell r="F343">
            <v>46.93</v>
          </cell>
        </row>
        <row r="344">
          <cell r="A344" t="str">
            <v>04832C</v>
          </cell>
          <cell r="B344" t="str">
            <v>Foreman Pipefitter Instmntn-C</v>
          </cell>
          <cell r="C344" t="str">
            <v>CBT</v>
          </cell>
          <cell r="D344" t="str">
            <v>17</v>
          </cell>
          <cell r="F344">
            <v>57.27</v>
          </cell>
        </row>
        <row r="345">
          <cell r="A345" t="str">
            <v>04830C</v>
          </cell>
          <cell r="B345" t="str">
            <v>Foreman Pipefitter-C</v>
          </cell>
          <cell r="C345" t="str">
            <v>CBT</v>
          </cell>
          <cell r="D345" t="str">
            <v>17</v>
          </cell>
          <cell r="F345">
            <v>57.27</v>
          </cell>
        </row>
        <row r="346">
          <cell r="A346" t="str">
            <v>04850C</v>
          </cell>
          <cell r="B346" t="str">
            <v>Foreman Plumber Master I/Chg-C</v>
          </cell>
          <cell r="C346" t="str">
            <v>CBT</v>
          </cell>
          <cell r="D346" t="str">
            <v>20</v>
          </cell>
          <cell r="F346">
            <v>55.34</v>
          </cell>
        </row>
        <row r="347">
          <cell r="A347" t="str">
            <v>04840C</v>
          </cell>
          <cell r="B347" t="str">
            <v>Foreman Plumber-C</v>
          </cell>
          <cell r="C347" t="str">
            <v>CBT</v>
          </cell>
          <cell r="D347" t="str">
            <v>13</v>
          </cell>
          <cell r="F347">
            <v>53.8</v>
          </cell>
        </row>
        <row r="348">
          <cell r="A348" t="str">
            <v>04860C</v>
          </cell>
          <cell r="B348" t="str">
            <v>Foreman Plumber-Welder-C</v>
          </cell>
          <cell r="C348" t="str">
            <v>CBT</v>
          </cell>
          <cell r="D348" t="str">
            <v>13</v>
          </cell>
          <cell r="F348">
            <v>53.8</v>
          </cell>
        </row>
        <row r="349">
          <cell r="A349" t="str">
            <v>04940C</v>
          </cell>
          <cell r="B349" t="str">
            <v>Foreman Sheet Metal-C</v>
          </cell>
          <cell r="C349" t="str">
            <v>CBT</v>
          </cell>
          <cell r="D349" t="str">
            <v>14</v>
          </cell>
          <cell r="F349">
            <v>55.71</v>
          </cell>
        </row>
        <row r="350">
          <cell r="A350" t="str">
            <v>05010C</v>
          </cell>
          <cell r="B350" t="str">
            <v>Foreman Traffic Painting-C</v>
          </cell>
          <cell r="C350" t="str">
            <v>CBT</v>
          </cell>
          <cell r="D350" t="str">
            <v>02</v>
          </cell>
          <cell r="F350">
            <v>46.93</v>
          </cell>
        </row>
        <row r="351">
          <cell r="A351" t="str">
            <v>05760C</v>
          </cell>
          <cell r="B351" t="str">
            <v>Iron Worker-C</v>
          </cell>
          <cell r="C351" t="str">
            <v>CBT</v>
          </cell>
          <cell r="D351" t="str">
            <v>08</v>
          </cell>
          <cell r="F351">
            <v>51.69</v>
          </cell>
        </row>
        <row r="352">
          <cell r="A352" t="str">
            <v>05940C</v>
          </cell>
          <cell r="B352" t="str">
            <v>Lacquer &amp; Varnish Mach Oper-C</v>
          </cell>
          <cell r="C352" t="str">
            <v>CBT</v>
          </cell>
          <cell r="D352" t="str">
            <v>01</v>
          </cell>
          <cell r="F352">
            <v>44.27</v>
          </cell>
        </row>
        <row r="353">
          <cell r="A353" t="str">
            <v>07350C</v>
          </cell>
          <cell r="B353" t="str">
            <v>Painter-C</v>
          </cell>
          <cell r="C353" t="str">
            <v>CBT</v>
          </cell>
          <cell r="D353" t="str">
            <v>01</v>
          </cell>
          <cell r="F353">
            <v>44.27</v>
          </cell>
        </row>
        <row r="354">
          <cell r="A354" t="str">
            <v>07770C</v>
          </cell>
          <cell r="B354" t="str">
            <v>Pipefitter Instrumentation-C</v>
          </cell>
          <cell r="C354" t="str">
            <v>CBT</v>
          </cell>
          <cell r="D354" t="str">
            <v>16</v>
          </cell>
          <cell r="F354">
            <v>53.26</v>
          </cell>
        </row>
        <row r="355">
          <cell r="A355" t="str">
            <v>07780C</v>
          </cell>
          <cell r="B355" t="str">
            <v>Pipefitter-C</v>
          </cell>
          <cell r="C355" t="str">
            <v>CBT</v>
          </cell>
          <cell r="D355" t="str">
            <v>15</v>
          </cell>
          <cell r="F355">
            <v>53.26</v>
          </cell>
        </row>
        <row r="356">
          <cell r="A356" t="str">
            <v>08010C</v>
          </cell>
          <cell r="B356" t="str">
            <v>Plumber Welder-C</v>
          </cell>
          <cell r="C356" t="str">
            <v>CBT</v>
          </cell>
          <cell r="D356" t="str">
            <v>12</v>
          </cell>
          <cell r="F356">
            <v>49.82</v>
          </cell>
        </row>
        <row r="357">
          <cell r="A357" t="str">
            <v>08030C</v>
          </cell>
          <cell r="B357" t="str">
            <v>Plumber-C</v>
          </cell>
          <cell r="C357" t="str">
            <v>CBT</v>
          </cell>
          <cell r="D357" t="str">
            <v>11</v>
          </cell>
          <cell r="F357">
            <v>49.82</v>
          </cell>
        </row>
        <row r="358">
          <cell r="A358" t="str">
            <v>C02760</v>
          </cell>
          <cell r="B358" t="str">
            <v>Council Member-C</v>
          </cell>
          <cell r="C358" t="str">
            <v>CEC</v>
          </cell>
          <cell r="D358" t="str">
            <v>01</v>
          </cell>
          <cell r="F358">
            <v>52.811</v>
          </cell>
        </row>
        <row r="359">
          <cell r="A359" t="str">
            <v>C07030</v>
          </cell>
          <cell r="B359" t="str">
            <v>Mayor-C</v>
          </cell>
          <cell r="C359" t="str">
            <v>CEC</v>
          </cell>
          <cell r="D359" t="str">
            <v>02</v>
          </cell>
          <cell r="F359">
            <v>67.698999999999998</v>
          </cell>
        </row>
        <row r="360">
          <cell r="A360" t="str">
            <v>C02761</v>
          </cell>
          <cell r="B360" t="str">
            <v>Public</v>
          </cell>
          <cell r="C360" t="str">
            <v>CEC</v>
          </cell>
          <cell r="D360" t="str">
            <v>01</v>
          </cell>
          <cell r="F360">
            <v>52.811</v>
          </cell>
        </row>
        <row r="361">
          <cell r="A361" t="str">
            <v>C03810</v>
          </cell>
          <cell r="B361" t="str">
            <v>Election Judge-C</v>
          </cell>
          <cell r="C361" t="str">
            <v>CEJ</v>
          </cell>
          <cell r="D361" t="str">
            <v>1</v>
          </cell>
          <cell r="F361">
            <v>17.149999999999999</v>
          </cell>
        </row>
        <row r="362">
          <cell r="A362" t="str">
            <v>03860C</v>
          </cell>
          <cell r="B362" t="str">
            <v>Electrician-C</v>
          </cell>
          <cell r="C362" t="str">
            <v>CEL</v>
          </cell>
          <cell r="D362" t="str">
            <v>01</v>
          </cell>
          <cell r="F362">
            <v>53.854999999999997</v>
          </cell>
        </row>
        <row r="363">
          <cell r="A363" t="str">
            <v>04605C</v>
          </cell>
          <cell r="B363" t="str">
            <v>Foreman Electrician Master-C</v>
          </cell>
          <cell r="C363" t="str">
            <v>CEL</v>
          </cell>
          <cell r="D363" t="str">
            <v>03</v>
          </cell>
          <cell r="F363">
            <v>58.76</v>
          </cell>
        </row>
        <row r="364">
          <cell r="A364" t="str">
            <v>04600C</v>
          </cell>
          <cell r="B364" t="str">
            <v>Foreman Electrician-C</v>
          </cell>
          <cell r="C364" t="str">
            <v>CEL</v>
          </cell>
          <cell r="D364" t="str">
            <v>02</v>
          </cell>
          <cell r="F364">
            <v>57.125</v>
          </cell>
        </row>
        <row r="365">
          <cell r="A365" t="str">
            <v>03960C</v>
          </cell>
          <cell r="B365" t="str">
            <v>Engineer-C</v>
          </cell>
          <cell r="C365" t="str">
            <v>CEN</v>
          </cell>
          <cell r="D365" t="str">
            <v>13</v>
          </cell>
          <cell r="F365">
            <v>36.448</v>
          </cell>
          <cell r="G365">
            <v>37.904000000000003</v>
          </cell>
          <cell r="H365">
            <v>39.417999999999999</v>
          </cell>
          <cell r="I365">
            <v>40.993000000000002</v>
          </cell>
          <cell r="J365">
            <v>42.63</v>
          </cell>
        </row>
        <row r="366">
          <cell r="A366" t="str">
            <v>04106C</v>
          </cell>
          <cell r="B366" t="str">
            <v>Environmental Engineer-C</v>
          </cell>
          <cell r="C366" t="str">
            <v>CEN</v>
          </cell>
          <cell r="D366" t="str">
            <v>01</v>
          </cell>
          <cell r="F366">
            <v>44.372</v>
          </cell>
          <cell r="G366">
            <v>46.591000000000001</v>
          </cell>
          <cell r="H366">
            <v>48.923000000000002</v>
          </cell>
          <cell r="I366">
            <v>51.366999999999997</v>
          </cell>
          <cell r="J366">
            <v>53.923999999999999</v>
          </cell>
        </row>
        <row r="367">
          <cell r="A367" t="str">
            <v>07890C</v>
          </cell>
          <cell r="B367" t="str">
            <v>Plan Examiner II Engineer-C</v>
          </cell>
          <cell r="C367" t="str">
            <v>CEN</v>
          </cell>
          <cell r="D367" t="str">
            <v>01</v>
          </cell>
          <cell r="F367">
            <v>44.372</v>
          </cell>
          <cell r="G367">
            <v>46.591000000000001</v>
          </cell>
          <cell r="H367">
            <v>48.923000000000002</v>
          </cell>
          <cell r="I367">
            <v>51.366999999999997</v>
          </cell>
          <cell r="J367">
            <v>53.923999999999999</v>
          </cell>
        </row>
        <row r="368">
          <cell r="A368" t="str">
            <v>04000C</v>
          </cell>
          <cell r="B368" t="str">
            <v>Principal Professional Engr-C</v>
          </cell>
          <cell r="C368" t="str">
            <v>CEN</v>
          </cell>
          <cell r="D368" t="str">
            <v>04</v>
          </cell>
          <cell r="F368">
            <v>53.265000000000001</v>
          </cell>
          <cell r="G368">
            <v>55.92</v>
          </cell>
          <cell r="H368">
            <v>58.722999999999999</v>
          </cell>
          <cell r="I368">
            <v>61.654000000000003</v>
          </cell>
          <cell r="J368">
            <v>64.733000000000004</v>
          </cell>
        </row>
        <row r="369">
          <cell r="A369" t="str">
            <v>03980C</v>
          </cell>
          <cell r="B369" t="str">
            <v>Professional Engineer-C</v>
          </cell>
          <cell r="C369" t="str">
            <v>CEN</v>
          </cell>
          <cell r="D369" t="str">
            <v>01</v>
          </cell>
          <cell r="F369">
            <v>44.372</v>
          </cell>
          <cell r="G369">
            <v>46.591000000000001</v>
          </cell>
          <cell r="H369">
            <v>48.923000000000002</v>
          </cell>
          <cell r="I369">
            <v>51.366999999999997</v>
          </cell>
          <cell r="J369">
            <v>53.923999999999999</v>
          </cell>
        </row>
        <row r="370">
          <cell r="A370" t="str">
            <v>03990C</v>
          </cell>
          <cell r="B370" t="str">
            <v>Senior Professional Engineer-C</v>
          </cell>
          <cell r="C370" t="str">
            <v>CEN</v>
          </cell>
          <cell r="D370" t="str">
            <v>02</v>
          </cell>
          <cell r="F370">
            <v>48.433999999999997</v>
          </cell>
          <cell r="G370">
            <v>50.85</v>
          </cell>
          <cell r="H370">
            <v>53.393999999999998</v>
          </cell>
          <cell r="I370">
            <v>56.048999999999999</v>
          </cell>
          <cell r="J370">
            <v>58.851999999999997</v>
          </cell>
        </row>
        <row r="371">
          <cell r="A371" t="str">
            <v>53044C</v>
          </cell>
          <cell r="B371" t="str">
            <v>Sewer Operations Engineer-C</v>
          </cell>
          <cell r="C371" t="str">
            <v>CEN</v>
          </cell>
          <cell r="D371" t="str">
            <v>05</v>
          </cell>
          <cell r="F371">
            <v>56.215000000000003</v>
          </cell>
          <cell r="G371">
            <v>59.017000000000003</v>
          </cell>
          <cell r="H371">
            <v>61.968000000000004</v>
          </cell>
          <cell r="I371">
            <v>65.064999999999998</v>
          </cell>
          <cell r="J371">
            <v>68.31</v>
          </cell>
        </row>
        <row r="372">
          <cell r="A372" t="str">
            <v>09440C</v>
          </cell>
          <cell r="B372" t="str">
            <v>Street Maintenance Engineer-C</v>
          </cell>
          <cell r="C372" t="str">
            <v>CEN</v>
          </cell>
          <cell r="D372" t="str">
            <v>05</v>
          </cell>
          <cell r="F372">
            <v>56.215000000000003</v>
          </cell>
          <cell r="G372">
            <v>59.017000000000003</v>
          </cell>
          <cell r="H372">
            <v>61.968000000000004</v>
          </cell>
          <cell r="I372">
            <v>65.064999999999998</v>
          </cell>
          <cell r="J372">
            <v>68.31</v>
          </cell>
        </row>
        <row r="373">
          <cell r="A373" t="str">
            <v>09750C</v>
          </cell>
          <cell r="B373" t="str">
            <v>Supt,Environmental Engnrg-C</v>
          </cell>
          <cell r="C373" t="str">
            <v>CEN</v>
          </cell>
          <cell r="D373" t="str">
            <v>05</v>
          </cell>
          <cell r="F373">
            <v>56.215000000000003</v>
          </cell>
          <cell r="G373">
            <v>59.017000000000003</v>
          </cell>
          <cell r="H373">
            <v>61.968000000000004</v>
          </cell>
          <cell r="I373">
            <v>65.064999999999998</v>
          </cell>
          <cell r="J373">
            <v>68.31</v>
          </cell>
        </row>
        <row r="374">
          <cell r="A374" t="str">
            <v>09790C</v>
          </cell>
          <cell r="B374" t="str">
            <v>Supt,Water Plant Operations-C</v>
          </cell>
          <cell r="C374" t="str">
            <v>CEN</v>
          </cell>
          <cell r="D374" t="str">
            <v>05</v>
          </cell>
          <cell r="F374">
            <v>56.215000000000003</v>
          </cell>
          <cell r="G374">
            <v>59.017000000000003</v>
          </cell>
          <cell r="H374">
            <v>61.968000000000004</v>
          </cell>
          <cell r="I374">
            <v>65.064999999999998</v>
          </cell>
          <cell r="J374">
            <v>68.31</v>
          </cell>
        </row>
        <row r="375">
          <cell r="A375" t="str">
            <v>10625C</v>
          </cell>
          <cell r="B375" t="str">
            <v>Traffic Operations Engineer-C</v>
          </cell>
          <cell r="C375" t="str">
            <v>CEN</v>
          </cell>
          <cell r="D375" t="str">
            <v>05</v>
          </cell>
          <cell r="F375">
            <v>56.215000000000003</v>
          </cell>
          <cell r="G375">
            <v>59.017000000000003</v>
          </cell>
          <cell r="H375">
            <v>61.968000000000004</v>
          </cell>
          <cell r="I375">
            <v>65.064999999999998</v>
          </cell>
          <cell r="J375">
            <v>68.31</v>
          </cell>
        </row>
        <row r="376">
          <cell r="A376" t="str">
            <v>52919C</v>
          </cell>
          <cell r="B376" t="str">
            <v>Auto Mechanic Trainee</v>
          </cell>
          <cell r="C376" t="str">
            <v>CEQ</v>
          </cell>
          <cell r="D376" t="str">
            <v>38</v>
          </cell>
          <cell r="F376">
            <v>23.446999999999999</v>
          </cell>
          <cell r="G376">
            <v>27.427</v>
          </cell>
          <cell r="H376">
            <v>35.411999999999999</v>
          </cell>
        </row>
        <row r="377">
          <cell r="A377" t="str">
            <v>01180C</v>
          </cell>
          <cell r="B377" t="str">
            <v>Automotive Mechanic-C</v>
          </cell>
          <cell r="C377" t="str">
            <v>CEQ</v>
          </cell>
          <cell r="D377" t="str">
            <v>21</v>
          </cell>
          <cell r="F377">
            <v>38.287999999999997</v>
          </cell>
          <cell r="G377">
            <v>39.436</v>
          </cell>
          <cell r="H377">
            <v>40.619999999999997</v>
          </cell>
          <cell r="I377">
            <v>41.838000000000001</v>
          </cell>
        </row>
        <row r="378">
          <cell r="A378" t="str">
            <v xml:space="preserve">52930C </v>
          </cell>
          <cell r="B378" t="str">
            <v>Fleet Equipment Repair Coord</v>
          </cell>
          <cell r="C378" t="str">
            <v>CEQ</v>
          </cell>
          <cell r="D378" t="str">
            <v>12</v>
          </cell>
          <cell r="F378">
            <v>42.587000000000003</v>
          </cell>
          <cell r="G378">
            <v>43.865000000000002</v>
          </cell>
          <cell r="H378">
            <v>45.180999999999997</v>
          </cell>
          <cell r="I378">
            <v>46.536000000000001</v>
          </cell>
        </row>
        <row r="379">
          <cell r="A379" t="str">
            <v>04520C</v>
          </cell>
          <cell r="B379" t="str">
            <v>Foreman Auto Mechanic-C</v>
          </cell>
          <cell r="C379" t="str">
            <v>CEQ</v>
          </cell>
          <cell r="D379" t="str">
            <v>12</v>
          </cell>
          <cell r="F379">
            <v>42.587000000000003</v>
          </cell>
          <cell r="G379">
            <v>43.865000000000002</v>
          </cell>
          <cell r="H379">
            <v>45.180999999999997</v>
          </cell>
          <cell r="I379">
            <v>46.536000000000001</v>
          </cell>
        </row>
        <row r="380">
          <cell r="A380" t="str">
            <v>07115C</v>
          </cell>
          <cell r="B380" t="str">
            <v>Metal Fabrication &amp; Wldng Sp-C</v>
          </cell>
          <cell r="C380" t="str">
            <v>CEQ</v>
          </cell>
          <cell r="D380" t="str">
            <v>07</v>
          </cell>
          <cell r="F380">
            <v>37.956000000000003</v>
          </cell>
          <cell r="G380">
            <v>39.094999999999999</v>
          </cell>
          <cell r="H380">
            <v>40.268000000000001</v>
          </cell>
          <cell r="I380">
            <v>41.475999999999999</v>
          </cell>
        </row>
        <row r="381">
          <cell r="A381" t="str">
            <v>08569C</v>
          </cell>
          <cell r="B381" t="str">
            <v>PW Service Worker II-C</v>
          </cell>
          <cell r="C381" t="str">
            <v>CEQ</v>
          </cell>
          <cell r="D381" t="str">
            <v>20</v>
          </cell>
          <cell r="F381">
            <v>36.890999999999998</v>
          </cell>
          <cell r="G381">
            <v>37.997999999999998</v>
          </cell>
          <cell r="H381">
            <v>39.137999999999998</v>
          </cell>
          <cell r="I381">
            <v>40.311999999999998</v>
          </cell>
        </row>
        <row r="382">
          <cell r="A382" t="str">
            <v>02622C</v>
          </cell>
          <cell r="B382" t="str">
            <v>PWSW2 Apprshp Prg for MCL-C</v>
          </cell>
          <cell r="C382" t="str">
            <v>CEQ</v>
          </cell>
          <cell r="D382" t="str">
            <v>37</v>
          </cell>
          <cell r="F382">
            <v>34.085999999999999</v>
          </cell>
          <cell r="G382">
            <v>34.929000000000002</v>
          </cell>
          <cell r="H382">
            <v>35.533000000000001</v>
          </cell>
          <cell r="I382">
            <v>36.137999999999998</v>
          </cell>
          <cell r="J382">
            <v>36.741999999999997</v>
          </cell>
        </row>
        <row r="383">
          <cell r="A383" t="str">
            <v>02624C</v>
          </cell>
          <cell r="B383" t="str">
            <v>PWSW2 Apprshp Prg for PWSW1-C</v>
          </cell>
          <cell r="C383" t="str">
            <v>CEQ</v>
          </cell>
          <cell r="D383" t="str">
            <v>36</v>
          </cell>
          <cell r="F383">
            <v>35.725999999999999</v>
          </cell>
          <cell r="G383">
            <v>36.017000000000003</v>
          </cell>
          <cell r="H383">
            <v>36.308999999999997</v>
          </cell>
          <cell r="I383">
            <v>36.6</v>
          </cell>
          <cell r="J383">
            <v>36.890999999999998</v>
          </cell>
        </row>
        <row r="384">
          <cell r="A384" t="str">
            <v>52973C</v>
          </cell>
          <cell r="B384" t="str">
            <v>Sanitation Equip Repa Coord-C</v>
          </cell>
          <cell r="C384" t="str">
            <v>CEQ</v>
          </cell>
          <cell r="D384" t="str">
            <v>12</v>
          </cell>
          <cell r="F384">
            <v>42.587000000000003</v>
          </cell>
          <cell r="G384">
            <v>43.865000000000002</v>
          </cell>
          <cell r="H384">
            <v>45.180999999999997</v>
          </cell>
          <cell r="I384">
            <v>46.536000000000001</v>
          </cell>
        </row>
        <row r="385">
          <cell r="A385" t="str">
            <v>10960C</v>
          </cell>
          <cell r="B385" t="str">
            <v>Welder,Shop-C</v>
          </cell>
          <cell r="C385" t="str">
            <v>CEQ</v>
          </cell>
          <cell r="D385" t="str">
            <v>05</v>
          </cell>
          <cell r="F385">
            <v>38.287999999999997</v>
          </cell>
          <cell r="G385">
            <v>39.436</v>
          </cell>
          <cell r="H385">
            <v>40.619999999999997</v>
          </cell>
          <cell r="I385">
            <v>41.838000000000001</v>
          </cell>
        </row>
        <row r="386">
          <cell r="A386" t="str">
            <v>03890C</v>
          </cell>
          <cell r="B386" t="str">
            <v>Electronic Technician-C</v>
          </cell>
          <cell r="C386" t="str">
            <v>CET</v>
          </cell>
          <cell r="D386" t="str">
            <v>02</v>
          </cell>
          <cell r="F386">
            <v>39.075000000000003</v>
          </cell>
          <cell r="G386">
            <v>40.305</v>
          </cell>
          <cell r="H386">
            <v>41.533999999999999</v>
          </cell>
          <cell r="I386">
            <v>42.829000000000001</v>
          </cell>
        </row>
        <row r="387">
          <cell r="A387" t="str">
            <v>52986C</v>
          </cell>
          <cell r="B387" t="str">
            <v>Mobile Comm Electron Techn - C</v>
          </cell>
          <cell r="C387" t="str">
            <v>CET</v>
          </cell>
          <cell r="D387" t="str">
            <v>02</v>
          </cell>
          <cell r="F387">
            <v>39.075000000000003</v>
          </cell>
          <cell r="G387">
            <v>40.305</v>
          </cell>
          <cell r="H387">
            <v>41.533999999999999</v>
          </cell>
          <cell r="I387">
            <v>42.829000000000001</v>
          </cell>
        </row>
        <row r="388">
          <cell r="A388" t="str">
            <v>03050C</v>
          </cell>
          <cell r="B388" t="str">
            <v>Deputy Fire Chief-C</v>
          </cell>
          <cell r="C388" t="str">
            <v>CFC</v>
          </cell>
          <cell r="D388" t="str">
            <v>3</v>
          </cell>
          <cell r="F388">
            <v>47.072000000000003</v>
          </cell>
          <cell r="G388">
            <v>48.484000000000002</v>
          </cell>
          <cell r="H388">
            <v>49.939</v>
          </cell>
        </row>
        <row r="389">
          <cell r="A389" t="str">
            <v>03580C</v>
          </cell>
          <cell r="B389" t="str">
            <v>District Fire Chief-C</v>
          </cell>
          <cell r="C389" t="str">
            <v>CFC</v>
          </cell>
          <cell r="D389" t="str">
            <v>2</v>
          </cell>
          <cell r="F389">
            <v>42.029000000000003</v>
          </cell>
          <cell r="G389">
            <v>43.29</v>
          </cell>
          <cell r="H389">
            <v>44.588000000000001</v>
          </cell>
        </row>
        <row r="390">
          <cell r="A390" t="str">
            <v>03051C</v>
          </cell>
          <cell r="B390" t="str">
            <v>Deputy Fire Chief 80 hrs-C</v>
          </cell>
          <cell r="C390" t="str">
            <v>CFD</v>
          </cell>
          <cell r="D390" t="str">
            <v>3</v>
          </cell>
          <cell r="F390">
            <v>64.253</v>
          </cell>
          <cell r="G390">
            <v>66.180999999999997</v>
          </cell>
          <cell r="H390">
            <v>68.165999999999997</v>
          </cell>
        </row>
        <row r="391">
          <cell r="A391" t="str">
            <v>03581C</v>
          </cell>
          <cell r="B391" t="str">
            <v>District Fire Chief 80 hours-C</v>
          </cell>
          <cell r="C391" t="str">
            <v>CFD</v>
          </cell>
          <cell r="D391" t="str">
            <v>2</v>
          </cell>
          <cell r="F391">
            <v>46.537500000000001</v>
          </cell>
          <cell r="G391">
            <v>47.924999999999997</v>
          </cell>
          <cell r="H391">
            <v>49.362499999999997</v>
          </cell>
        </row>
        <row r="392">
          <cell r="A392" t="str">
            <v>04370C</v>
          </cell>
          <cell r="B392" t="str">
            <v>Fire Captain 54.6 hrs/wk -C</v>
          </cell>
          <cell r="C392" t="str">
            <v>CFF</v>
          </cell>
          <cell r="D392" t="str">
            <v>3</v>
          </cell>
          <cell r="F392">
            <v>36.101999999999997</v>
          </cell>
          <cell r="G392">
            <v>37.533999999999999</v>
          </cell>
          <cell r="H392">
            <v>39.831000000000003</v>
          </cell>
        </row>
        <row r="393">
          <cell r="A393" t="str">
            <v>04388C</v>
          </cell>
          <cell r="B393" t="str">
            <v>Fire Inspector I-C</v>
          </cell>
          <cell r="C393" t="str">
            <v>CFF</v>
          </cell>
          <cell r="D393" t="str">
            <v>1</v>
          </cell>
          <cell r="F393">
            <v>25.693000000000001</v>
          </cell>
          <cell r="G393">
            <v>26.721</v>
          </cell>
          <cell r="H393">
            <v>27.79</v>
          </cell>
          <cell r="I393">
            <v>28.901</v>
          </cell>
          <cell r="J393">
            <v>30.056999999999999</v>
          </cell>
          <cell r="K393">
            <v>31.259</v>
          </cell>
        </row>
        <row r="394">
          <cell r="A394" t="str">
            <v>04389C</v>
          </cell>
          <cell r="B394" t="str">
            <v>Fire Inspector II-C</v>
          </cell>
          <cell r="C394" t="str">
            <v>CFF</v>
          </cell>
          <cell r="D394" t="str">
            <v>2</v>
          </cell>
          <cell r="F394">
            <v>31.85</v>
          </cell>
          <cell r="G394">
            <v>33.100999999999999</v>
          </cell>
          <cell r="H394">
            <v>35.112000000000002</v>
          </cell>
        </row>
        <row r="395">
          <cell r="A395" t="str">
            <v>04390C</v>
          </cell>
          <cell r="B395" t="str">
            <v>Fire Inspector III-C</v>
          </cell>
          <cell r="C395" t="str">
            <v>CFF</v>
          </cell>
          <cell r="D395" t="str">
            <v>3</v>
          </cell>
          <cell r="F395">
            <v>36.101999999999997</v>
          </cell>
          <cell r="G395">
            <v>37.533999999999999</v>
          </cell>
          <cell r="H395">
            <v>39.831000000000003</v>
          </cell>
        </row>
        <row r="396">
          <cell r="A396" t="str">
            <v>04400C</v>
          </cell>
          <cell r="B396" t="str">
            <v>Fire Investigator 54.6 hr/wkC</v>
          </cell>
          <cell r="C396" t="str">
            <v>CFF</v>
          </cell>
          <cell r="D396" t="str">
            <v>3</v>
          </cell>
          <cell r="F396">
            <v>36.101999999999997</v>
          </cell>
          <cell r="G396">
            <v>37.533999999999999</v>
          </cell>
          <cell r="H396">
            <v>39.831000000000003</v>
          </cell>
        </row>
        <row r="397">
          <cell r="A397" t="str">
            <v>04420C</v>
          </cell>
          <cell r="B397" t="str">
            <v>Fire Motor Operator 54.6 hr/wC</v>
          </cell>
          <cell r="C397" t="str">
            <v>CFF</v>
          </cell>
          <cell r="D397" t="str">
            <v>2</v>
          </cell>
          <cell r="F397">
            <v>31.85</v>
          </cell>
          <cell r="G397">
            <v>33.100999999999999</v>
          </cell>
          <cell r="H397">
            <v>35.112000000000002</v>
          </cell>
        </row>
        <row r="398">
          <cell r="A398" t="str">
            <v>04436C</v>
          </cell>
          <cell r="B398" t="str">
            <v>Fire Staff Captain 54.6 Hrs-C</v>
          </cell>
          <cell r="C398" t="str">
            <v>CFF</v>
          </cell>
          <cell r="D398" t="str">
            <v>4</v>
          </cell>
          <cell r="F398">
            <v>36.950000000000003</v>
          </cell>
          <cell r="G398">
            <v>37.576000000000001</v>
          </cell>
          <cell r="H398">
            <v>38.215000000000003</v>
          </cell>
          <cell r="I398">
            <v>38.853999999999999</v>
          </cell>
          <cell r="J398">
            <v>41.223999999999997</v>
          </cell>
        </row>
        <row r="399">
          <cell r="A399" t="str">
            <v>04371C</v>
          </cell>
          <cell r="B399" t="str">
            <v>Fire Captain 40 hrs/wk -C</v>
          </cell>
          <cell r="C399" t="str">
            <v>CFG</v>
          </cell>
          <cell r="D399" t="str">
            <v>3</v>
          </cell>
          <cell r="F399">
            <v>49.279000000000003</v>
          </cell>
          <cell r="G399">
            <v>51.234000000000002</v>
          </cell>
          <cell r="H399">
            <v>54.369</v>
          </cell>
        </row>
        <row r="400">
          <cell r="A400" t="str">
            <v>04401C</v>
          </cell>
          <cell r="B400" t="str">
            <v>Fire Investigator 40 hrs/wk -C</v>
          </cell>
          <cell r="C400" t="str">
            <v>CFG</v>
          </cell>
          <cell r="D400" t="str">
            <v>3</v>
          </cell>
          <cell r="F400">
            <v>49.279000000000003</v>
          </cell>
          <cell r="G400">
            <v>51.234000000000002</v>
          </cell>
          <cell r="H400">
            <v>54.369</v>
          </cell>
        </row>
        <row r="401">
          <cell r="A401" t="str">
            <v>04421C</v>
          </cell>
          <cell r="B401" t="str">
            <v>Fire Motor Operator 80 hrs-C</v>
          </cell>
          <cell r="C401" t="str">
            <v>CFG</v>
          </cell>
          <cell r="D401" t="str">
            <v>2</v>
          </cell>
          <cell r="F401">
            <v>43.475999999999999</v>
          </cell>
          <cell r="G401">
            <v>45.183</v>
          </cell>
          <cell r="H401">
            <v>47.927999999999997</v>
          </cell>
        </row>
        <row r="402">
          <cell r="A402" t="str">
            <v>04435C</v>
          </cell>
          <cell r="B402" t="str">
            <v>Fire Staff Captain 40 hr wk-C</v>
          </cell>
          <cell r="C402" t="str">
            <v>CFG</v>
          </cell>
          <cell r="D402" t="str">
            <v>4</v>
          </cell>
          <cell r="F402">
            <v>50.436999999999998</v>
          </cell>
          <cell r="G402">
            <v>51.290999999999997</v>
          </cell>
          <cell r="H402">
            <v>52.164000000000001</v>
          </cell>
          <cell r="I402">
            <v>53.034999999999997</v>
          </cell>
          <cell r="J402">
            <v>56.271000000000001</v>
          </cell>
        </row>
        <row r="403">
          <cell r="A403" t="str">
            <v>04440C</v>
          </cell>
          <cell r="B403" t="str">
            <v>Firefighter Cadet-C</v>
          </cell>
          <cell r="C403" t="str">
            <v>CFG</v>
          </cell>
          <cell r="D403" t="str">
            <v>5</v>
          </cell>
          <cell r="F403">
            <v>24.55</v>
          </cell>
        </row>
      </sheetData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ller, Brenda " refreshedDate="43836.543494907404" createdVersion="6" refreshedVersion="6" minRefreshableVersion="3" recordCount="82" xr:uid="{6761D0D1-805F-4303-9DF2-1C14D7722333}">
  <cacheSource type="worksheet">
    <worksheetSource ref="A2:F84" sheet="sheet1"/>
  </cacheSource>
  <cacheFields count="6">
    <cacheField name="Rate Code" numFmtId="0">
      <sharedItems count="4">
        <s v="LNGCFF"/>
        <s v="LNGCFG"/>
        <s v="LNGCFH"/>
        <s v="LNGCFI"/>
      </sharedItems>
    </cacheField>
    <cacheField name="Eff Date" numFmtId="14">
      <sharedItems containsSemiMixedTypes="0" containsNonDate="0" containsDate="1" containsString="0" minDate="2019-04-01T00:00:00" maxDate="2019-04-02T00:00:00"/>
    </cacheField>
    <cacheField name="Level" numFmtId="1">
      <sharedItems containsSemiMixedTypes="0" containsString="0" containsNumber="1" containsInteger="1" minValue="1" maxValue="21" count="21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</sharedItems>
    </cacheField>
    <cacheField name="Min Years" numFmtId="1">
      <sharedItems containsSemiMixedTypes="0" containsString="0" containsNumber="1" containsInteger="1" minValue="0" maxValue="25"/>
    </cacheField>
    <cacheField name="Descr" numFmtId="0">
      <sharedItems/>
    </cacheField>
    <cacheField name="Comp Rate" numFmtId="167">
      <sharedItems containsSemiMixedTypes="0" containsString="0" containsNumber="1" minValue="0" maxValue="5.697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x v="0"/>
    <d v="2019-04-01T00:00:00"/>
    <x v="0"/>
    <n v="0"/>
    <s v="Longevity: CFF"/>
    <n v="0"/>
  </r>
  <r>
    <x v="0"/>
    <d v="2019-04-01T00:00:00"/>
    <x v="1"/>
    <n v="6"/>
    <s v="Longevity: CFF"/>
    <n v="0.14899999999999999"/>
  </r>
  <r>
    <x v="0"/>
    <d v="2019-04-01T00:00:00"/>
    <x v="2"/>
    <n v="7"/>
    <s v="Longevity: CFF"/>
    <n v="0.21099999999999999"/>
  </r>
  <r>
    <x v="0"/>
    <d v="2019-04-01T00:00:00"/>
    <x v="3"/>
    <n v="8"/>
    <s v="Longevity: CFF"/>
    <n v="0.27300000000000002"/>
  </r>
  <r>
    <x v="0"/>
    <d v="2019-04-01T00:00:00"/>
    <x v="4"/>
    <n v="9"/>
    <s v="Longevity: CFF"/>
    <n v="0.33500000000000002"/>
  </r>
  <r>
    <x v="0"/>
    <d v="2019-04-01T00:00:00"/>
    <x v="5"/>
    <n v="10"/>
    <s v="Longevity: CFF"/>
    <n v="0.39700000000000002"/>
  </r>
  <r>
    <x v="0"/>
    <d v="2019-04-01T00:00:00"/>
    <x v="6"/>
    <n v="11"/>
    <s v="Longevity: CFF"/>
    <n v="1.2"/>
  </r>
  <r>
    <x v="0"/>
    <d v="2019-04-01T00:00:00"/>
    <x v="7"/>
    <n v="12"/>
    <s v="Longevity: CFF"/>
    <n v="1.268"/>
  </r>
  <r>
    <x v="0"/>
    <d v="2019-04-01T00:00:00"/>
    <x v="8"/>
    <n v="13"/>
    <s v="Longevity: CFF"/>
    <n v="1.335"/>
  </r>
  <r>
    <x v="0"/>
    <d v="2019-04-01T00:00:00"/>
    <x v="9"/>
    <n v="14"/>
    <s v="Longevity: CFF"/>
    <n v="1.746"/>
  </r>
  <r>
    <x v="0"/>
    <d v="2019-04-01T00:00:00"/>
    <x v="10"/>
    <n v="15"/>
    <s v="Longevity: CFF"/>
    <n v="1.8140000000000001"/>
  </r>
  <r>
    <x v="0"/>
    <d v="2019-04-01T00:00:00"/>
    <x v="11"/>
    <n v="16"/>
    <s v="Longevity: CFF"/>
    <n v="1.881"/>
  </r>
  <r>
    <x v="0"/>
    <d v="2019-04-01T00:00:00"/>
    <x v="12"/>
    <n v="17"/>
    <s v="Longevity: CFF"/>
    <n v="1.9490000000000001"/>
  </r>
  <r>
    <x v="0"/>
    <d v="2019-04-01T00:00:00"/>
    <x v="13"/>
    <n v="18"/>
    <s v="Longevity: CFF"/>
    <n v="2.14"/>
  </r>
  <r>
    <x v="0"/>
    <d v="2019-04-01T00:00:00"/>
    <x v="14"/>
    <n v="19"/>
    <s v="Longevity: CFF"/>
    <n v="2.6890000000000001"/>
  </r>
  <r>
    <x v="0"/>
    <d v="2019-04-01T00:00:00"/>
    <x v="15"/>
    <n v="20"/>
    <s v="Longevity: CFF"/>
    <n v="2.7559999999999998"/>
  </r>
  <r>
    <x v="0"/>
    <d v="2019-04-01T00:00:00"/>
    <x v="16"/>
    <n v="21"/>
    <s v="Longevity: CFF"/>
    <n v="2.8239999999999998"/>
  </r>
  <r>
    <x v="0"/>
    <d v="2019-04-01T00:00:00"/>
    <x v="17"/>
    <n v="22"/>
    <s v="Longevity: CFF"/>
    <n v="2.891"/>
  </r>
  <r>
    <x v="0"/>
    <d v="2019-04-01T00:00:00"/>
    <x v="18"/>
    <n v="23"/>
    <s v="Longevity: CFF"/>
    <n v="2.9590000000000001"/>
  </r>
  <r>
    <x v="0"/>
    <d v="2019-04-01T00:00:00"/>
    <x v="19"/>
    <n v="24"/>
    <s v="Longevity: CFF"/>
    <n v="3.2320000000000002"/>
  </r>
  <r>
    <x v="1"/>
    <d v="2019-04-01T00:00:00"/>
    <x v="0"/>
    <n v="0"/>
    <s v="Longevity: CFG"/>
    <n v="0"/>
  </r>
  <r>
    <x v="1"/>
    <d v="2019-04-01T00:00:00"/>
    <x v="1"/>
    <n v="6"/>
    <s v="Longevity: CFG"/>
    <n v="0.20300000000000001"/>
  </r>
  <r>
    <x v="1"/>
    <d v="2019-04-01T00:00:00"/>
    <x v="2"/>
    <n v="7"/>
    <s v="Longevity: CFG"/>
    <n v="0.28799999999999998"/>
  </r>
  <r>
    <x v="1"/>
    <d v="2019-04-01T00:00:00"/>
    <x v="3"/>
    <n v="8"/>
    <s v="Longevity: CFG"/>
    <n v="0.372"/>
  </r>
  <r>
    <x v="1"/>
    <d v="2019-04-01T00:00:00"/>
    <x v="4"/>
    <n v="9"/>
    <s v="Longevity: CFG"/>
    <n v="0.45700000000000002"/>
  </r>
  <r>
    <x v="1"/>
    <d v="2019-04-01T00:00:00"/>
    <x v="5"/>
    <n v="10"/>
    <s v="Longevity: CFG"/>
    <n v="0.54200000000000004"/>
  </r>
  <r>
    <x v="1"/>
    <d v="2019-04-01T00:00:00"/>
    <x v="6"/>
    <n v="11"/>
    <s v="Longevity: CFG"/>
    <n v="1.639"/>
  </r>
  <r>
    <x v="1"/>
    <d v="2019-04-01T00:00:00"/>
    <x v="7"/>
    <n v="12"/>
    <s v="Longevity: CFG"/>
    <n v="1.7310000000000001"/>
  </r>
  <r>
    <x v="1"/>
    <d v="2019-04-01T00:00:00"/>
    <x v="8"/>
    <n v="13"/>
    <s v="Longevity: CFG"/>
    <n v="1.823"/>
  </r>
  <r>
    <x v="1"/>
    <d v="2019-04-01T00:00:00"/>
    <x v="9"/>
    <n v="14"/>
    <s v="Longevity: CFG"/>
    <n v="2.3839999999999999"/>
  </r>
  <r>
    <x v="1"/>
    <d v="2019-04-01T00:00:00"/>
    <x v="10"/>
    <n v="15"/>
    <s v="Longevity: CFG"/>
    <n v="2.476"/>
  </r>
  <r>
    <x v="1"/>
    <d v="2019-04-01T00:00:00"/>
    <x v="11"/>
    <n v="16"/>
    <s v="Longevity: CFG"/>
    <n v="2.5680000000000001"/>
  </r>
  <r>
    <x v="1"/>
    <d v="2019-04-01T00:00:00"/>
    <x v="12"/>
    <n v="17"/>
    <s v="Longevity: CFG"/>
    <n v="2.66"/>
  </r>
  <r>
    <x v="1"/>
    <d v="2019-04-01T00:00:00"/>
    <x v="13"/>
    <n v="18"/>
    <s v="Longevity: CFG"/>
    <n v="2.9209999999999998"/>
  </r>
  <r>
    <x v="1"/>
    <d v="2019-04-01T00:00:00"/>
    <x v="14"/>
    <n v="19"/>
    <s v="Longevity: CFG"/>
    <n v="3.67"/>
  </r>
  <r>
    <x v="1"/>
    <d v="2019-04-01T00:00:00"/>
    <x v="15"/>
    <n v="20"/>
    <s v="Longevity: CFG"/>
    <n v="3.762"/>
  </r>
  <r>
    <x v="1"/>
    <d v="2019-04-01T00:00:00"/>
    <x v="16"/>
    <n v="21"/>
    <s v="Longevity: CFG"/>
    <n v="3.8540000000000001"/>
  </r>
  <r>
    <x v="1"/>
    <d v="2019-04-01T00:00:00"/>
    <x v="17"/>
    <n v="22"/>
    <s v="Longevity: CFG"/>
    <n v="3.9470000000000001"/>
  </r>
  <r>
    <x v="1"/>
    <d v="2019-04-01T00:00:00"/>
    <x v="18"/>
    <n v="23"/>
    <s v="Longevity: CFG"/>
    <n v="4.0389999999999997"/>
  </r>
  <r>
    <x v="1"/>
    <d v="2019-04-01T00:00:00"/>
    <x v="19"/>
    <n v="24"/>
    <s v="Longevity: CFG"/>
    <n v="4.4119999999999999"/>
  </r>
  <r>
    <x v="2"/>
    <d v="2019-04-01T00:00:00"/>
    <x v="0"/>
    <n v="0"/>
    <s v="Longevity: CFH"/>
    <n v="0"/>
  </r>
  <r>
    <x v="2"/>
    <d v="2019-04-01T00:00:00"/>
    <x v="1"/>
    <n v="6"/>
    <s v="Longevity: CFH"/>
    <n v="0.14899999999999999"/>
  </r>
  <r>
    <x v="2"/>
    <d v="2019-04-01T00:00:00"/>
    <x v="2"/>
    <n v="7"/>
    <s v="Longevity: CFH"/>
    <n v="0.21099999999999999"/>
  </r>
  <r>
    <x v="2"/>
    <d v="2019-04-01T00:00:00"/>
    <x v="3"/>
    <n v="8"/>
    <s v="Longevity: CFH"/>
    <n v="0.27300000000000002"/>
  </r>
  <r>
    <x v="2"/>
    <d v="2019-04-01T00:00:00"/>
    <x v="4"/>
    <n v="9"/>
    <s v="Longevity: CFH"/>
    <n v="0.33500000000000002"/>
  </r>
  <r>
    <x v="2"/>
    <d v="2019-04-01T00:00:00"/>
    <x v="5"/>
    <n v="10"/>
    <s v="Longevity: CFH"/>
    <n v="0.39700000000000002"/>
  </r>
  <r>
    <x v="2"/>
    <d v="2019-04-01T00:00:00"/>
    <x v="6"/>
    <n v="11"/>
    <s v="Longevity: CFH"/>
    <n v="1.2"/>
  </r>
  <r>
    <x v="2"/>
    <d v="2019-04-01T00:00:00"/>
    <x v="7"/>
    <n v="12"/>
    <s v="Longevity: CFH"/>
    <n v="1.268"/>
  </r>
  <r>
    <x v="2"/>
    <d v="2019-04-01T00:00:00"/>
    <x v="8"/>
    <n v="13"/>
    <s v="Longevity: CFH"/>
    <n v="1.335"/>
  </r>
  <r>
    <x v="2"/>
    <d v="2019-04-01T00:00:00"/>
    <x v="9"/>
    <n v="14"/>
    <s v="Longevity: CFH"/>
    <n v="1.746"/>
  </r>
  <r>
    <x v="2"/>
    <d v="2019-04-01T00:00:00"/>
    <x v="10"/>
    <n v="15"/>
    <s v="Longevity: CFH"/>
    <n v="1.8140000000000001"/>
  </r>
  <r>
    <x v="2"/>
    <d v="2019-04-01T00:00:00"/>
    <x v="11"/>
    <n v="16"/>
    <s v="Longevity: CFH"/>
    <n v="1.881"/>
  </r>
  <r>
    <x v="2"/>
    <d v="2019-04-01T00:00:00"/>
    <x v="12"/>
    <n v="17"/>
    <s v="Longevity: CFH"/>
    <n v="1.9490000000000001"/>
  </r>
  <r>
    <x v="2"/>
    <d v="2019-04-01T00:00:00"/>
    <x v="13"/>
    <n v="18"/>
    <s v="Longevity: CFH"/>
    <n v="2.14"/>
  </r>
  <r>
    <x v="2"/>
    <d v="2019-04-01T00:00:00"/>
    <x v="14"/>
    <n v="19"/>
    <s v="Longevity: CFH"/>
    <n v="2.6890000000000001"/>
  </r>
  <r>
    <x v="2"/>
    <d v="2019-04-01T00:00:00"/>
    <x v="15"/>
    <n v="20"/>
    <s v="Longevity: CFH"/>
    <n v="3.1669999999999998"/>
  </r>
  <r>
    <x v="2"/>
    <d v="2019-04-01T00:00:00"/>
    <x v="16"/>
    <n v="21"/>
    <s v="Longevity: CFH"/>
    <n v="3.2349999999999999"/>
  </r>
  <r>
    <x v="2"/>
    <d v="2019-04-01T00:00:00"/>
    <x v="17"/>
    <n v="22"/>
    <s v="Longevity: CFH"/>
    <n v="3.302"/>
  </r>
  <r>
    <x v="2"/>
    <d v="2019-04-01T00:00:00"/>
    <x v="18"/>
    <n v="23"/>
    <s v="Longevity: CFH"/>
    <n v="3.37"/>
  </r>
  <r>
    <x v="2"/>
    <d v="2019-04-01T00:00:00"/>
    <x v="19"/>
    <n v="24"/>
    <s v="Longevity: CFH"/>
    <n v="3.6429999999999998"/>
  </r>
  <r>
    <x v="2"/>
    <d v="2019-04-01T00:00:00"/>
    <x v="20"/>
    <n v="25"/>
    <s v="Longevity: CFH"/>
    <n v="4.173"/>
  </r>
  <r>
    <x v="3"/>
    <d v="2019-04-01T00:00:00"/>
    <x v="0"/>
    <n v="0"/>
    <s v="Longevity:  CFI"/>
    <n v="0"/>
  </r>
  <r>
    <x v="3"/>
    <d v="2019-04-01T00:00:00"/>
    <x v="1"/>
    <n v="6"/>
    <s v="Longevity:  CFI"/>
    <n v="0.20300000000000001"/>
  </r>
  <r>
    <x v="3"/>
    <d v="2019-04-01T00:00:00"/>
    <x v="2"/>
    <n v="7"/>
    <s v="Longevity:  CFI"/>
    <n v="0.28799999999999998"/>
  </r>
  <r>
    <x v="3"/>
    <d v="2019-04-01T00:00:00"/>
    <x v="3"/>
    <n v="8"/>
    <s v="Longevity:  CFI"/>
    <n v="0.372"/>
  </r>
  <r>
    <x v="3"/>
    <d v="2019-04-01T00:00:00"/>
    <x v="4"/>
    <n v="9"/>
    <s v="Longevity:  CFI"/>
    <n v="0.45700000000000002"/>
  </r>
  <r>
    <x v="3"/>
    <d v="2019-04-01T00:00:00"/>
    <x v="5"/>
    <n v="10"/>
    <s v="Longevity:  CFI"/>
    <n v="0.54200000000000004"/>
  </r>
  <r>
    <x v="3"/>
    <d v="2019-04-01T00:00:00"/>
    <x v="6"/>
    <n v="11"/>
    <s v="Longevity:  CFI"/>
    <n v="1.639"/>
  </r>
  <r>
    <x v="3"/>
    <d v="2019-04-01T00:00:00"/>
    <x v="7"/>
    <n v="12"/>
    <s v="Longevity:  CFI"/>
    <n v="1.7310000000000001"/>
  </r>
  <r>
    <x v="3"/>
    <d v="2019-04-01T00:00:00"/>
    <x v="8"/>
    <n v="13"/>
    <s v="Longevity:  CFI"/>
    <n v="1.823"/>
  </r>
  <r>
    <x v="3"/>
    <d v="2019-04-01T00:00:00"/>
    <x v="9"/>
    <n v="14"/>
    <s v="Longevity:  CFI"/>
    <n v="2.3839999999999999"/>
  </r>
  <r>
    <x v="3"/>
    <d v="2019-04-01T00:00:00"/>
    <x v="10"/>
    <n v="15"/>
    <s v="Longevity:  CFI"/>
    <n v="2.476"/>
  </r>
  <r>
    <x v="3"/>
    <d v="2019-04-01T00:00:00"/>
    <x v="11"/>
    <n v="16"/>
    <s v="Longevity:  CFI"/>
    <n v="2.5680000000000001"/>
  </r>
  <r>
    <x v="3"/>
    <d v="2019-04-01T00:00:00"/>
    <x v="12"/>
    <n v="17"/>
    <s v="Longevity:  CFI"/>
    <n v="2.66"/>
  </r>
  <r>
    <x v="3"/>
    <d v="2019-04-01T00:00:00"/>
    <x v="13"/>
    <n v="18"/>
    <s v="Longevity:  CFI"/>
    <n v="2.9209999999999998"/>
  </r>
  <r>
    <x v="3"/>
    <d v="2019-04-01T00:00:00"/>
    <x v="14"/>
    <n v="19"/>
    <s v="Longevity:  CFI"/>
    <n v="3.67"/>
  </r>
  <r>
    <x v="3"/>
    <d v="2019-04-01T00:00:00"/>
    <x v="15"/>
    <n v="20"/>
    <s v="Longevity:  CFI"/>
    <n v="4.3230000000000004"/>
  </r>
  <r>
    <x v="3"/>
    <d v="2019-04-01T00:00:00"/>
    <x v="16"/>
    <n v="21"/>
    <s v="Longevity:  CFI"/>
    <n v="4.4160000000000004"/>
  </r>
  <r>
    <x v="3"/>
    <d v="2019-04-01T00:00:00"/>
    <x v="17"/>
    <n v="22"/>
    <s v="Longevity:  CFI"/>
    <n v="4.508"/>
  </r>
  <r>
    <x v="3"/>
    <d v="2019-04-01T00:00:00"/>
    <x v="18"/>
    <n v="23"/>
    <s v="Longevity:  CFI"/>
    <n v="4.5999999999999996"/>
  </r>
  <r>
    <x v="3"/>
    <d v="2019-04-01T00:00:00"/>
    <x v="19"/>
    <n v="24"/>
    <s v="Longevity:  CFI"/>
    <n v="4.9729999999999999"/>
  </r>
  <r>
    <x v="3"/>
    <d v="2019-04-01T00:00:00"/>
    <x v="20"/>
    <n v="25"/>
    <s v="Longevity:  CFI"/>
    <n v="5.69700000000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4051A9-433F-4C5A-9C6C-4D4C71A52204}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A3:V8" firstHeaderRow="1" firstDataRow="2" firstDataCol="1"/>
  <pivotFields count="6">
    <pivotField axis="axisRow" showAll="0">
      <items count="5">
        <item x="0"/>
        <item x="2"/>
        <item x="1"/>
        <item x="3"/>
        <item t="default"/>
      </items>
    </pivotField>
    <pivotField numFmtId="14" showAll="0"/>
    <pivotField axis="axisCol" numFmtId="1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numFmtId="1" showAll="0"/>
    <pivotField showAll="0"/>
    <pivotField dataField="1" numFmtId="167" showAll="0"/>
  </pivotFields>
  <rowFields count="1">
    <field x="0"/>
  </rowFields>
  <rowItems count="4">
    <i>
      <x/>
    </i>
    <i>
      <x v="1"/>
    </i>
    <i>
      <x v="2"/>
    </i>
    <i>
      <x v="3"/>
    </i>
  </rowItems>
  <colFields count="1">
    <field x="2"/>
  </colFields>
  <col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</colItems>
  <dataFields count="1">
    <dataField name="Average of Comp Rate" fld="5" subtotal="average" baseField="0" baseItem="0"/>
  </dataFields>
  <formats count="2">
    <format dxfId="1">
      <pivotArea collapsedLevelsAreSubtotals="1" fieldPosition="0">
        <references count="2">
          <reference field="0" count="2">
            <x v="0"/>
            <x v="1"/>
          </reference>
          <reference field="2" count="6" selected="0">
            <x v="15"/>
            <x v="16"/>
            <x v="17"/>
            <x v="18"/>
            <x v="19"/>
            <x v="20"/>
          </reference>
        </references>
      </pivotArea>
    </format>
    <format dxfId="0">
      <pivotArea collapsedLevelsAreSubtotals="1" fieldPosition="0">
        <references count="2">
          <reference field="0" count="2">
            <x v="2"/>
            <x v="3"/>
          </reference>
          <reference field="2" count="6" selected="0">
            <x v="15"/>
            <x v="16"/>
            <x v="17"/>
            <x v="18"/>
            <x v="19"/>
            <x v="2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R106"/>
  <sheetViews>
    <sheetView workbookViewId="0">
      <selection activeCell="B10" sqref="B10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1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8.398437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76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6" t="s">
        <v>18</v>
      </c>
      <c r="H6" s="6">
        <f>'[1]January 1, 2007'!H6*1.03</f>
        <v>1641.82</v>
      </c>
      <c r="I6" s="6">
        <f>'[1]January 1, 2007'!I6*1.03</f>
        <v>1755.1200000000001</v>
      </c>
      <c r="J6" s="6">
        <f>'[1]January 1, 2007'!J6*1.03</f>
        <v>1877.69</v>
      </c>
      <c r="K6" s="6">
        <f>'[1]January 1, 2007'!K6*1.03</f>
        <v>2008.5</v>
      </c>
      <c r="L6" s="6">
        <f>'[1]January 1, 2007'!L6*1.03</f>
        <v>2147.5500000000002</v>
      </c>
      <c r="M6" s="6">
        <f>'[1]January 1, 2007'!M6*1.03</f>
        <v>2279.922927562</v>
      </c>
    </row>
    <row r="7" spans="1:14">
      <c r="A7" s="6"/>
      <c r="B7" s="6"/>
      <c r="C7" s="6" t="s">
        <v>19</v>
      </c>
      <c r="D7" s="2" t="s">
        <v>20</v>
      </c>
      <c r="E7" s="2">
        <v>353</v>
      </c>
      <c r="F7" s="6" t="s">
        <v>17</v>
      </c>
      <c r="G7" s="6" t="s">
        <v>18</v>
      </c>
      <c r="H7" s="6">
        <f>'[1]January 1, 2007'!H7*1.03</f>
        <v>1641.82</v>
      </c>
      <c r="I7" s="6">
        <f>'[1]January 1, 2007'!I7*1.03</f>
        <v>1755.1200000000001</v>
      </c>
      <c r="J7" s="6">
        <f>'[1]January 1, 2007'!J7*1.03</f>
        <v>1877.69</v>
      </c>
      <c r="K7" s="6">
        <f>'[1]January 1, 2007'!K7*1.03</f>
        <v>2008.5</v>
      </c>
      <c r="L7" s="6">
        <f>'[1]January 1, 2007'!L7*1.03</f>
        <v>2147.5500000000002</v>
      </c>
      <c r="M7" s="6">
        <f>'[1]January 1, 2007'!M7*1.03</f>
        <v>2279.922927562</v>
      </c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6" t="s">
        <v>18</v>
      </c>
      <c r="H8" s="6">
        <f>'[1]January 1, 2007'!H8*1.03</f>
        <v>1641.82</v>
      </c>
      <c r="I8" s="6">
        <f>'[1]January 1, 2007'!I8*1.03</f>
        <v>1755.1200000000001</v>
      </c>
      <c r="J8" s="6">
        <f>'[1]January 1, 2007'!J8*1.03</f>
        <v>1877.69</v>
      </c>
      <c r="K8" s="6">
        <f>'[1]January 1, 2007'!K8*1.03</f>
        <v>2008.5</v>
      </c>
      <c r="L8" s="6">
        <f>'[1]January 1, 2007'!L8*1.03</f>
        <v>2147.5500000000002</v>
      </c>
      <c r="M8" s="6">
        <f>'[1]January 1, 2007'!M8*1.03</f>
        <v>2279.922927562</v>
      </c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6" t="s">
        <v>18</v>
      </c>
      <c r="H9" s="6">
        <f>'[1]January 1, 2007'!H9*1.03</f>
        <v>2323.6799999999998</v>
      </c>
      <c r="I9" s="6">
        <f>'[1]January 1, 2007'!I9*1.03</f>
        <v>2416.38</v>
      </c>
      <c r="J9" s="6">
        <f>'[1]January 1, 2007'!J9*1.03</f>
        <v>2565.4400779174998</v>
      </c>
      <c r="K9" s="6"/>
      <c r="L9" s="6"/>
      <c r="M9" s="6"/>
    </row>
    <row r="10" spans="1:14">
      <c r="A10" s="6" t="s">
        <v>14</v>
      </c>
      <c r="B10" s="6">
        <v>3</v>
      </c>
      <c r="C10" s="6" t="s">
        <v>25</v>
      </c>
      <c r="D10" s="2" t="s">
        <v>26</v>
      </c>
      <c r="F10" s="6" t="s">
        <v>17</v>
      </c>
      <c r="G10" s="6" t="s">
        <v>18</v>
      </c>
      <c r="H10" s="6">
        <f>'[1]January 1, 2007'!H10*1.03</f>
        <v>2323.6799999999998</v>
      </c>
      <c r="I10" s="6">
        <f>'[1]January 1, 2007'!I10*1.03</f>
        <v>2416.38</v>
      </c>
      <c r="J10" s="6">
        <f>'[1]January 1, 2007'!J10*1.03</f>
        <v>2565.4400779174998</v>
      </c>
      <c r="K10" s="6"/>
      <c r="L10" s="6"/>
      <c r="M10" s="6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6" t="s">
        <v>18</v>
      </c>
      <c r="H11" s="6">
        <f>'[1]January 1, 2007'!H11*1.03</f>
        <v>2323.6799999999998</v>
      </c>
      <c r="I11" s="6">
        <f>'[1]January 1, 2007'!I11*1.03</f>
        <v>2416.38</v>
      </c>
      <c r="J11" s="6">
        <f>'[1]January 1, 2007'!J11*1.03</f>
        <v>2565.4400779174998</v>
      </c>
      <c r="K11" s="6"/>
      <c r="L11" s="6"/>
      <c r="M11" s="6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6" t="s">
        <v>18</v>
      </c>
      <c r="H12" s="6">
        <f>'[1]January 1, 2007'!H12*1.03</f>
        <v>2638.86</v>
      </c>
      <c r="I12" s="6">
        <f>'[1]January 1, 2007'!I12*1.03</f>
        <v>2744.9500000000003</v>
      </c>
      <c r="J12" s="6">
        <f>'[1]January 1, 2007'!J12*1.03</f>
        <v>2915.2249263234999</v>
      </c>
      <c r="K12" s="6"/>
      <c r="L12" s="6"/>
      <c r="M12" s="6"/>
    </row>
    <row r="13" spans="1:14">
      <c r="A13" s="6"/>
      <c r="B13" s="6"/>
      <c r="C13" s="6" t="s">
        <v>31</v>
      </c>
      <c r="D13" s="2" t="s">
        <v>32</v>
      </c>
      <c r="F13" s="6" t="s">
        <v>17</v>
      </c>
      <c r="G13" s="6" t="s">
        <v>18</v>
      </c>
      <c r="H13" s="6">
        <f>'[1]January 1, 2007'!H13*1.03</f>
        <v>2638.86</v>
      </c>
      <c r="I13" s="6">
        <f>'[1]January 1, 2007'!I13*1.03</f>
        <v>2744.9500000000003</v>
      </c>
      <c r="J13" s="6">
        <f>'[1]January 1, 2007'!J13*1.03</f>
        <v>2915.2249263234999</v>
      </c>
      <c r="K13" s="6"/>
      <c r="L13" s="6"/>
      <c r="M13" s="6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6" t="s">
        <v>18</v>
      </c>
      <c r="H14" s="6">
        <f>'[1]January 1, 2007'!H14*1.03</f>
        <v>2638.86</v>
      </c>
      <c r="I14" s="6">
        <f>'[1]January 1, 2007'!I14*1.03</f>
        <v>2744.9500000000003</v>
      </c>
      <c r="J14" s="6">
        <f>'[1]January 1, 2007'!J14*1.03</f>
        <v>2915.2249263234999</v>
      </c>
      <c r="K14" s="6"/>
      <c r="L14" s="6"/>
      <c r="M14" s="6"/>
    </row>
    <row r="15" spans="1:14">
      <c r="A15" s="6"/>
      <c r="B15" s="6"/>
      <c r="C15" s="6" t="s">
        <v>35</v>
      </c>
      <c r="D15" s="2" t="s">
        <v>36</v>
      </c>
      <c r="F15" s="6" t="s">
        <v>17</v>
      </c>
      <c r="G15" s="6" t="s">
        <v>18</v>
      </c>
      <c r="H15" s="6">
        <f>'[1]January 1, 2007'!H15*1.03</f>
        <v>2638.86</v>
      </c>
      <c r="I15" s="6">
        <f>'[1]January 1, 2007'!I15*1.03</f>
        <v>2744.9500000000003</v>
      </c>
      <c r="J15" s="6">
        <f>'[1]January 1, 2007'!J15*1.03</f>
        <v>2915.2249263234999</v>
      </c>
      <c r="K15" s="6"/>
      <c r="L15" s="6"/>
      <c r="M15" s="6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6" t="s">
        <v>18</v>
      </c>
      <c r="H16" s="6">
        <f>'[1]January 1, 2007'!H16*1.03</f>
        <v>2638.86</v>
      </c>
      <c r="I16" s="6">
        <f>'[1]January 1, 2007'!I16*1.03</f>
        <v>2744.9500000000003</v>
      </c>
      <c r="J16" s="6">
        <f>'[1]January 1, 2007'!J16*1.03</f>
        <v>2915.2249263234999</v>
      </c>
      <c r="K16" s="6"/>
      <c r="L16" s="6"/>
      <c r="M16" s="6"/>
    </row>
    <row r="17" spans="1:18" ht="12.75" customHeight="1">
      <c r="A17" s="6" t="s">
        <v>14</v>
      </c>
      <c r="B17" s="6">
        <v>3</v>
      </c>
      <c r="C17" s="6" t="s">
        <v>39</v>
      </c>
      <c r="D17" s="7" t="s">
        <v>40</v>
      </c>
      <c r="F17" s="6" t="s">
        <v>17</v>
      </c>
      <c r="G17" s="6" t="s">
        <v>18</v>
      </c>
      <c r="H17" s="6">
        <f>'[1]January 1, 2007'!H17*1.03</f>
        <v>2656.37</v>
      </c>
      <c r="I17" s="6">
        <f>'[1]January 1, 2007'!I17*1.03</f>
        <v>2701.69</v>
      </c>
      <c r="J17" s="6">
        <f>'[1]January 1, 2007'!J17*1.03</f>
        <v>2748.04</v>
      </c>
      <c r="K17" s="6">
        <f>'[1]January 1, 2007'!K17*1.03</f>
        <v>2795.42</v>
      </c>
      <c r="L17" s="6">
        <f>'[1]January 1, 2007'!L17*1.03</f>
        <v>2842.8</v>
      </c>
      <c r="M17" s="6">
        <f>'[1]January 1, 2007'!M17*1.03</f>
        <v>3018.4746707324994</v>
      </c>
    </row>
    <row r="18" spans="1:18" ht="13.15">
      <c r="A18" s="1"/>
      <c r="B18" s="1"/>
      <c r="C18" s="8" t="s">
        <v>41</v>
      </c>
      <c r="D18" s="9" t="s">
        <v>42</v>
      </c>
      <c r="E18" s="1"/>
      <c r="F18" s="6" t="s">
        <v>17</v>
      </c>
      <c r="G18" s="6" t="s">
        <v>18</v>
      </c>
      <c r="H18" s="6">
        <f>'[1]January 1, 2007'!H18*1.03</f>
        <v>2656.37</v>
      </c>
      <c r="I18" s="6">
        <f>'[1]January 1, 2007'!I18*1.03</f>
        <v>2701.69</v>
      </c>
      <c r="J18" s="6">
        <f>'[1]January 1, 2007'!J18*1.03</f>
        <v>2748.04</v>
      </c>
      <c r="K18" s="6">
        <f>'[1]January 1, 2007'!K18*1.03</f>
        <v>2795.42</v>
      </c>
      <c r="L18" s="6">
        <f>'[1]January 1, 2007'!L18*1.03</f>
        <v>2842.8</v>
      </c>
      <c r="M18" s="6">
        <f>'[1]January 1, 2007'!M18*1.03</f>
        <v>3018.4746707324994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'[1]January 1, 2007'!C21*1.03</f>
        <v>0.74803386255499993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'[1]January 1, 2007'!C22*1.03</f>
        <v>0.32660633435499997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'[1]January 1, 2007'!A34*1.03</f>
        <v>12.895682362919999</v>
      </c>
      <c r="B33" s="289" t="s">
        <v>54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R33" s="25"/>
    </row>
    <row r="34" spans="1:18">
      <c r="A34" s="14">
        <f>'[1]January 1, 2007'!A35*1.03</f>
        <v>18.289954723880001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'[1]January 1, 2007'!A36*1.03</f>
        <v>23.68422708484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'[1]January 1, 2007'!A37*1.03</f>
        <v>29.078499445799999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'[1]January 1, 2007'!A38*1.03</f>
        <v>34.472771806760001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'[1]January 1, 2007'!A39*1.03</f>
        <v>104.18742065924499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'[1]January 1, 2007'!A40*1.03</f>
        <v>110.04526330122501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'[1]January 1, 2007'!A41*1.03</f>
        <v>115.89257025500001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'[1]January 1, 2007'!A42*1.03</f>
        <v>151.58748189354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'[1]January 1, 2007'!A43*1.03</f>
        <v>157.43478884731499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'[1]January 1, 2007'!A44*1.03</f>
        <v>163.29263148929499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'[1]January 1, 2007'!A45*1.03</f>
        <v>169.15047413127502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'[1]January 1, 2007'!A46*1.03</f>
        <v>185.75471874235498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'[1]January 1, 2007'!A47*1.03</f>
        <v>233.37602942895498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'[1]January 1, 2007'!A48*1.03</f>
        <v>239.23387207093498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'[1]January 1, 2007'!A49*1.03</f>
        <v>245.09171471291498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'[1]January 1, 2007'!A50*1.03</f>
        <v>250.94955735489501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'[1]January 1, 2007'!A51*1.03</f>
        <v>256.80739999687501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'[1]January 1, 2007'!A52*1.03</f>
        <v>280.55484121094503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 ht="13.15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 ht="13.15">
      <c r="A60" s="1"/>
    </row>
    <row r="61" spans="1:18" ht="13.15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 ht="13.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 ht="13.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 ht="13.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 ht="13.15">
      <c r="A85" s="1"/>
    </row>
    <row r="86" spans="1:15">
      <c r="A86" s="22"/>
      <c r="B86" s="23"/>
    </row>
    <row r="87" spans="1:15">
      <c r="A87" s="25"/>
      <c r="B87" s="289"/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</row>
    <row r="88" spans="1:15">
      <c r="A88" s="25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R101"/>
  <sheetViews>
    <sheetView workbookViewId="0">
      <selection activeCell="A3" sqref="A3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10" width="6.59765625" style="42" customWidth="1"/>
    <col min="11" max="11" width="6.3984375" style="42" customWidth="1"/>
    <col min="12" max="12" width="6.1328125" style="42" customWidth="1"/>
    <col min="13" max="13" width="6.3984375" style="42" customWidth="1"/>
    <col min="14" max="14" width="24" style="42" customWidth="1"/>
    <col min="15" max="15" width="6.59765625" style="42" customWidth="1"/>
    <col min="16" max="16384" width="9.1328125" style="42"/>
  </cols>
  <sheetData>
    <row r="1" spans="1:14" ht="18">
      <c r="A1" s="55" t="s">
        <v>140</v>
      </c>
      <c r="B1" s="41"/>
      <c r="C1" s="41"/>
      <c r="D1" s="41"/>
      <c r="E1" s="41"/>
      <c r="F1" s="41"/>
      <c r="G1" s="41"/>
      <c r="H1" s="41"/>
    </row>
    <row r="2" spans="1:14">
      <c r="A2" s="43" t="s">
        <v>105</v>
      </c>
      <c r="B2" s="44"/>
      <c r="C2" s="44"/>
      <c r="E2" s="41"/>
      <c r="F2" s="43" t="s">
        <v>80</v>
      </c>
      <c r="G2" s="41"/>
      <c r="H2" s="41"/>
      <c r="I2" s="41"/>
      <c r="J2" s="41"/>
      <c r="K2" s="41"/>
      <c r="L2" s="41"/>
      <c r="M2" s="41"/>
      <c r="N2" s="41"/>
    </row>
    <row r="3" spans="1:14" ht="28.5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6</v>
      </c>
      <c r="F3" s="45" t="s">
        <v>7</v>
      </c>
      <c r="G3" s="45" t="s">
        <v>8</v>
      </c>
      <c r="H3" s="45" t="s">
        <v>9</v>
      </c>
      <c r="I3" s="45" t="s">
        <v>10</v>
      </c>
      <c r="J3" s="45" t="s">
        <v>11</v>
      </c>
      <c r="K3" s="45"/>
      <c r="L3" s="45"/>
      <c r="M3" s="45"/>
    </row>
    <row r="4" spans="1:14" ht="18.75" customHeight="1">
      <c r="A4" s="44"/>
      <c r="B4" s="46" t="s">
        <v>115</v>
      </c>
      <c r="D4" s="42" t="s">
        <v>84</v>
      </c>
      <c r="E4" s="44" t="s">
        <v>17</v>
      </c>
      <c r="F4" s="47">
        <f>F5*0.7</f>
        <v>1415.8043299619603</v>
      </c>
      <c r="G4" s="45"/>
      <c r="H4" s="45"/>
      <c r="I4" s="45"/>
      <c r="J4" s="45"/>
      <c r="K4" s="45"/>
      <c r="L4" s="45"/>
      <c r="M4" s="45"/>
    </row>
    <row r="5" spans="1:14" ht="18.75" customHeight="1">
      <c r="A5" s="46" t="s">
        <v>15</v>
      </c>
      <c r="B5" s="46" t="s">
        <v>115</v>
      </c>
      <c r="C5" s="46">
        <v>1</v>
      </c>
      <c r="D5" s="42" t="s">
        <v>16</v>
      </c>
      <c r="E5" s="46" t="s">
        <v>17</v>
      </c>
      <c r="F5" s="47">
        <f>'January 1, 2014'!G8*1.0225</f>
        <v>2022.5776142313721</v>
      </c>
      <c r="G5" s="47">
        <f>'January 1, 2014'!H8*1.0225</f>
        <v>2160.9094994713887</v>
      </c>
      <c r="H5" s="47">
        <f>'January 1, 2014'!I8*1.0225</f>
        <v>2308.5410072485506</v>
      </c>
      <c r="I5" s="47">
        <f>'January 1, 2014'!J8*1.0225</f>
        <v>2465.4721375628551</v>
      </c>
      <c r="J5" s="47">
        <f>'January 1, 2014'!K8*1.0225</f>
        <v>2614.8675575219941</v>
      </c>
      <c r="K5" s="47"/>
    </row>
    <row r="6" spans="1:14" ht="18.75" customHeight="1">
      <c r="A6" s="46" t="s">
        <v>19</v>
      </c>
      <c r="B6" s="46" t="s">
        <v>115</v>
      </c>
      <c r="C6" s="46">
        <v>1</v>
      </c>
      <c r="D6" s="42" t="s">
        <v>20</v>
      </c>
      <c r="E6" s="46" t="s">
        <v>17</v>
      </c>
      <c r="F6" s="47">
        <f>'January 1, 2014'!G9*1.0225</f>
        <v>2022.5776142313721</v>
      </c>
      <c r="G6" s="47">
        <f>'January 1, 2014'!H9*1.0225</f>
        <v>2160.9094994713887</v>
      </c>
      <c r="H6" s="47">
        <f>'January 1, 2014'!I9*1.0225</f>
        <v>2308.5410072485506</v>
      </c>
      <c r="I6" s="47">
        <f>'January 1, 2014'!J9*1.0225</f>
        <v>2465.4721375628551</v>
      </c>
      <c r="J6" s="47">
        <f>'January 1, 2014'!K9*1.0225</f>
        <v>2614.8675575219941</v>
      </c>
      <c r="K6" s="47"/>
    </row>
    <row r="7" spans="1:14" ht="18.75" customHeight="1">
      <c r="A7" s="46" t="s">
        <v>21</v>
      </c>
      <c r="B7" s="46" t="s">
        <v>115</v>
      </c>
      <c r="C7" s="46">
        <v>1</v>
      </c>
      <c r="D7" s="42" t="s">
        <v>22</v>
      </c>
      <c r="E7" s="46" t="s">
        <v>17</v>
      </c>
      <c r="F7" s="47">
        <f>'January 1, 2014'!G10*1.0225</f>
        <v>2022.5776142313721</v>
      </c>
      <c r="G7" s="47">
        <f>'January 1, 2014'!H10*1.0225</f>
        <v>2160.9094994713887</v>
      </c>
      <c r="H7" s="47">
        <f>'January 1, 2014'!I10*1.0225</f>
        <v>2308.5410072485506</v>
      </c>
      <c r="I7" s="47">
        <f>'January 1, 2014'!J10*1.0225</f>
        <v>2465.4721375628551</v>
      </c>
      <c r="J7" s="47">
        <f>'January 1, 2014'!K10*1.0225</f>
        <v>2614.8675575219941</v>
      </c>
      <c r="K7" s="47"/>
    </row>
    <row r="8" spans="1:14" ht="18.75" customHeight="1">
      <c r="A8" s="46" t="s">
        <v>23</v>
      </c>
      <c r="B8" s="46" t="s">
        <v>115</v>
      </c>
      <c r="C8" s="46">
        <v>2</v>
      </c>
      <c r="D8" s="42" t="s">
        <v>24</v>
      </c>
      <c r="E8" s="46" t="s">
        <v>17</v>
      </c>
      <c r="F8" s="47">
        <f>'January 1, 2014'!G11*1.0225</f>
        <v>2664.251569294308</v>
      </c>
      <c r="G8" s="47">
        <f>'January 1, 2014'!H11*1.0225</f>
        <v>2768.8723228371787</v>
      </c>
      <c r="H8" s="47">
        <f>'January 1, 2014'!I11*1.0225</f>
        <v>2937.1007767194624</v>
      </c>
      <c r="I8" s="47"/>
      <c r="J8" s="47"/>
      <c r="K8" s="47"/>
    </row>
    <row r="9" spans="1:14" ht="18.75" customHeight="1">
      <c r="A9" s="46" t="s">
        <v>77</v>
      </c>
      <c r="B9" s="46" t="s">
        <v>115</v>
      </c>
      <c r="C9" s="46">
        <v>2</v>
      </c>
      <c r="D9" s="42" t="s">
        <v>26</v>
      </c>
      <c r="E9" s="46" t="s">
        <v>17</v>
      </c>
      <c r="F9" s="47">
        <f>'January 1, 2014'!G12*1.0225</f>
        <v>2664.251569294308</v>
      </c>
      <c r="G9" s="47">
        <f>'January 1, 2014'!H12*1.0225</f>
        <v>2768.8723228371787</v>
      </c>
      <c r="H9" s="47">
        <f>'January 1, 2014'!I12*1.0225</f>
        <v>2937.1007767194624</v>
      </c>
      <c r="I9" s="47"/>
      <c r="J9" s="47"/>
      <c r="K9" s="47"/>
    </row>
    <row r="10" spans="1:14" ht="18.75" customHeight="1">
      <c r="A10" s="46" t="s">
        <v>27</v>
      </c>
      <c r="B10" s="46" t="s">
        <v>115</v>
      </c>
      <c r="C10" s="46">
        <v>2</v>
      </c>
      <c r="D10" s="42" t="s">
        <v>28</v>
      </c>
      <c r="E10" s="46" t="s">
        <v>17</v>
      </c>
      <c r="F10" s="47">
        <f>'January 1, 2014'!G13*1.0225</f>
        <v>2664.251569294308</v>
      </c>
      <c r="G10" s="47">
        <f>'January 1, 2014'!H13*1.0225</f>
        <v>2768.8723228371787</v>
      </c>
      <c r="H10" s="47">
        <f>'January 1, 2014'!I13*1.0225</f>
        <v>2937.1007767194624</v>
      </c>
      <c r="I10" s="47"/>
      <c r="J10" s="47"/>
      <c r="K10" s="47"/>
    </row>
    <row r="11" spans="1:14" ht="18.75" customHeight="1">
      <c r="A11" s="46" t="s">
        <v>29</v>
      </c>
      <c r="B11" s="46" t="s">
        <v>115</v>
      </c>
      <c r="C11" s="46">
        <v>2</v>
      </c>
      <c r="D11" s="42" t="s">
        <v>30</v>
      </c>
      <c r="E11" s="46" t="s">
        <v>17</v>
      </c>
      <c r="F11" s="47">
        <f>'January 1, 2014'!G14*1.0225</f>
        <v>3019.9621313400662</v>
      </c>
      <c r="G11" s="47">
        <f>'January 1, 2014'!H14*1.0225</f>
        <v>3139.6947715057954</v>
      </c>
      <c r="H11" s="47">
        <f>'January 1, 2014'!I14*1.0225</f>
        <v>3331.8661965480951</v>
      </c>
      <c r="I11" s="47"/>
      <c r="J11" s="47"/>
      <c r="K11" s="47"/>
    </row>
    <row r="12" spans="1:14" ht="18.75" customHeight="1">
      <c r="A12" s="46" t="s">
        <v>31</v>
      </c>
      <c r="B12" s="46" t="s">
        <v>115</v>
      </c>
      <c r="C12" s="46">
        <v>3</v>
      </c>
      <c r="D12" s="42" t="s">
        <v>32</v>
      </c>
      <c r="E12" s="46" t="s">
        <v>17</v>
      </c>
      <c r="F12" s="47">
        <f>'January 1, 2014'!G15*1.0225</f>
        <v>3019.9621313400662</v>
      </c>
      <c r="G12" s="47">
        <f>'January 1, 2014'!H15*1.0225</f>
        <v>3139.6947715057954</v>
      </c>
      <c r="H12" s="47">
        <f>'January 1, 2014'!I15*1.0225</f>
        <v>3331.8661965480951</v>
      </c>
      <c r="I12" s="47"/>
      <c r="J12" s="47"/>
      <c r="K12" s="47"/>
    </row>
    <row r="13" spans="1:14" ht="18.75" customHeight="1">
      <c r="A13" s="46" t="s">
        <v>33</v>
      </c>
      <c r="B13" s="46" t="s">
        <v>115</v>
      </c>
      <c r="C13" s="46">
        <v>3</v>
      </c>
      <c r="D13" s="42" t="s">
        <v>34</v>
      </c>
      <c r="E13" s="46" t="s">
        <v>17</v>
      </c>
      <c r="F13" s="47">
        <f>'January 1, 2014'!G16*1.0225</f>
        <v>3019.9621313400662</v>
      </c>
      <c r="G13" s="47">
        <f>'January 1, 2014'!H16*1.0225</f>
        <v>3139.6947715057954</v>
      </c>
      <c r="H13" s="47">
        <f>'January 1, 2014'!I16*1.0225</f>
        <v>3331.8661965480951</v>
      </c>
      <c r="I13" s="47"/>
      <c r="J13" s="47"/>
      <c r="K13" s="47"/>
    </row>
    <row r="14" spans="1:14" ht="18.75" customHeight="1">
      <c r="A14" s="46" t="s">
        <v>35</v>
      </c>
      <c r="B14" s="46" t="s">
        <v>115</v>
      </c>
      <c r="C14" s="46">
        <v>3</v>
      </c>
      <c r="D14" s="42" t="s">
        <v>36</v>
      </c>
      <c r="E14" s="46" t="s">
        <v>17</v>
      </c>
      <c r="F14" s="47">
        <f>'January 1, 2014'!G17*1.0225</f>
        <v>3019.9621313400662</v>
      </c>
      <c r="G14" s="47">
        <f>'January 1, 2014'!H17*1.0225</f>
        <v>3139.6947715057954</v>
      </c>
      <c r="H14" s="47">
        <f>'January 1, 2014'!I17*1.0225</f>
        <v>3331.8661965480951</v>
      </c>
      <c r="I14" s="47"/>
      <c r="J14" s="47"/>
      <c r="K14" s="47"/>
    </row>
    <row r="15" spans="1:14" ht="18.75" customHeight="1">
      <c r="A15" s="46" t="s">
        <v>37</v>
      </c>
      <c r="B15" s="46" t="s">
        <v>115</v>
      </c>
      <c r="C15" s="46">
        <v>3</v>
      </c>
      <c r="D15" s="42" t="s">
        <v>38</v>
      </c>
      <c r="E15" s="46" t="s">
        <v>17</v>
      </c>
      <c r="F15" s="47">
        <f>'January 1, 2014'!G18*1.0225</f>
        <v>3019.9621313400662</v>
      </c>
      <c r="G15" s="47">
        <f>'January 1, 2014'!H18*1.0225</f>
        <v>3139.6947715057954</v>
      </c>
      <c r="H15" s="47">
        <f>'January 1, 2014'!I18*1.0225</f>
        <v>3331.8661965480951</v>
      </c>
      <c r="I15" s="47"/>
      <c r="J15" s="47"/>
      <c r="K15" s="47"/>
    </row>
    <row r="16" spans="1:14" ht="18.75" customHeight="1">
      <c r="A16" s="46" t="s">
        <v>41</v>
      </c>
      <c r="B16" s="46" t="s">
        <v>115</v>
      </c>
      <c r="C16" s="46">
        <v>4</v>
      </c>
      <c r="D16" s="48" t="s">
        <v>113</v>
      </c>
      <c r="E16" s="46" t="s">
        <v>17</v>
      </c>
      <c r="F16" s="47">
        <f>'January 1, 2014'!G19*1.0225</f>
        <v>3090.8717531857887</v>
      </c>
      <c r="G16" s="47">
        <f>'January 1, 2014'!H19*1.0225</f>
        <v>3143.1821299572243</v>
      </c>
      <c r="H16" s="47">
        <f>'January 1, 2014'!I19*1.0225</f>
        <v>3196.6549595458023</v>
      </c>
      <c r="I16" s="47">
        <f>'January 1, 2014'!J19*1.0225</f>
        <v>3250.1277891343807</v>
      </c>
      <c r="J16" s="47">
        <f>'January 1, 2014'!K19*1.0225</f>
        <v>3448.3933385457035</v>
      </c>
      <c r="K16" s="47"/>
    </row>
    <row r="17" spans="1:18" ht="18.75" customHeight="1">
      <c r="A17" s="46" t="s">
        <v>39</v>
      </c>
      <c r="B17" s="46" t="s">
        <v>115</v>
      </c>
      <c r="C17" s="46">
        <v>4</v>
      </c>
      <c r="D17" s="42" t="s">
        <v>42</v>
      </c>
      <c r="E17" s="46" t="s">
        <v>17</v>
      </c>
      <c r="F17" s="47">
        <f>'January 1, 2014'!G20*1.0225</f>
        <v>3090.8717531857887</v>
      </c>
      <c r="G17" s="47">
        <f>'January 1, 2014'!H20*1.0225</f>
        <v>3143.1821299572243</v>
      </c>
      <c r="H17" s="47">
        <f>'January 1, 2014'!I20*1.0225</f>
        <v>3196.6549595458023</v>
      </c>
      <c r="I17" s="47">
        <f>'January 1, 2014'!J20*1.0225</f>
        <v>3250.1277891343807</v>
      </c>
      <c r="J17" s="47">
        <f>'January 1, 2014'!K20*1.0225</f>
        <v>3448.3933385457035</v>
      </c>
      <c r="K17" s="47"/>
    </row>
    <row r="18" spans="1:18" ht="27.75" customHeight="1">
      <c r="A18" s="42" t="s">
        <v>106</v>
      </c>
      <c r="C18" s="46"/>
      <c r="G18" s="46"/>
      <c r="H18" s="46"/>
      <c r="I18" s="46"/>
      <c r="J18" s="46"/>
      <c r="K18" s="46"/>
      <c r="L18" s="46"/>
      <c r="M18" s="46"/>
    </row>
    <row r="19" spans="1:18" ht="17.25" customHeight="1">
      <c r="B19" s="49">
        <f>'January 1, 2014'!C23*1.0225</f>
        <v>0.84422725324797998</v>
      </c>
      <c r="C19" s="50" t="s">
        <v>45</v>
      </c>
      <c r="G19" s="46"/>
      <c r="H19" s="46"/>
      <c r="I19" s="46"/>
      <c r="J19" s="46"/>
      <c r="K19" s="46"/>
      <c r="L19" s="46"/>
      <c r="M19" s="46"/>
      <c r="R19" s="46"/>
    </row>
    <row r="20" spans="1:18" ht="17.25" customHeight="1">
      <c r="B20" s="49">
        <f>'January 1, 2014'!C24*1.0225</f>
        <v>0.3686062655026392</v>
      </c>
      <c r="C20" s="50" t="s">
        <v>46</v>
      </c>
      <c r="G20" s="46"/>
      <c r="H20" s="46"/>
      <c r="I20" s="46"/>
      <c r="J20" s="46"/>
      <c r="K20" s="46"/>
      <c r="L20" s="46"/>
      <c r="M20" s="46"/>
      <c r="R20" s="46"/>
    </row>
    <row r="21" spans="1:18" ht="17.25" customHeight="1">
      <c r="A21" s="50" t="s">
        <v>111</v>
      </c>
      <c r="C21" s="46"/>
      <c r="G21" s="46"/>
      <c r="H21" s="46"/>
      <c r="I21" s="46"/>
      <c r="J21" s="46"/>
      <c r="K21" s="46"/>
      <c r="L21" s="46"/>
      <c r="M21" s="46"/>
    </row>
    <row r="22" spans="1:18" ht="17.25" customHeight="1">
      <c r="A22" s="50" t="s">
        <v>112</v>
      </c>
      <c r="C22" s="46"/>
      <c r="G22" s="46"/>
      <c r="H22" s="46"/>
      <c r="I22" s="46"/>
      <c r="J22" s="46"/>
      <c r="K22" s="46"/>
      <c r="L22" s="46"/>
      <c r="M22" s="46"/>
    </row>
    <row r="23" spans="1:18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46"/>
    </row>
    <row r="24" spans="1:18" ht="17.25" customHeight="1">
      <c r="A24" s="50" t="s">
        <v>50</v>
      </c>
      <c r="C24" s="46"/>
      <c r="G24" s="46"/>
      <c r="H24" s="46"/>
      <c r="I24" s="46"/>
      <c r="J24" s="46"/>
      <c r="K24" s="46"/>
      <c r="L24" s="46"/>
      <c r="M24" s="46"/>
    </row>
    <row r="25" spans="1:18" ht="17.25" customHeight="1">
      <c r="A25" s="42" t="s">
        <v>51</v>
      </c>
      <c r="C25" s="46"/>
      <c r="G25" s="46"/>
      <c r="H25" s="46"/>
      <c r="I25" s="46"/>
      <c r="J25" s="46"/>
      <c r="K25" s="46"/>
      <c r="L25" s="46"/>
      <c r="M25" s="46"/>
    </row>
    <row r="26" spans="1:18" ht="17.25" customHeight="1">
      <c r="A26" s="50" t="s">
        <v>52</v>
      </c>
      <c r="B26" s="46"/>
      <c r="C26" s="46"/>
    </row>
    <row r="27" spans="1:18" ht="17.25" customHeight="1">
      <c r="A27" s="50"/>
      <c r="B27" s="46"/>
      <c r="C27" s="46"/>
    </row>
    <row r="28" spans="1:18" ht="27.75" customHeight="1">
      <c r="A28" s="41" t="s">
        <v>136</v>
      </c>
      <c r="B28" s="42" t="s">
        <v>139</v>
      </c>
    </row>
    <row r="29" spans="1:18" ht="23.25" customHeight="1">
      <c r="A29" s="56">
        <f>'January 1, 2014'!A35*1.0225</f>
        <v>14.55400222500743</v>
      </c>
      <c r="B29" s="52" t="s">
        <v>116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8" ht="23.25" customHeight="1">
      <c r="A30" s="56">
        <f>'January 1, 2014'!A36*1.0225</f>
        <v>20.641950868147791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R30" s="51"/>
    </row>
    <row r="31" spans="1:18" ht="23.25" customHeight="1">
      <c r="A31" s="56">
        <f>'January 1, 2014'!A37*1.0225</f>
        <v>26.729899511288156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R31" s="51"/>
    </row>
    <row r="32" spans="1:18" ht="23.25" customHeight="1">
      <c r="A32" s="56">
        <f>'January 1, 2014'!A38*1.0225</f>
        <v>32.817848154428525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R32" s="51"/>
    </row>
    <row r="33" spans="1:18" ht="23.25" customHeight="1">
      <c r="A33" s="56">
        <f>'January 1, 2014'!A39*1.0225</f>
        <v>38.905796797568883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R33" s="51"/>
    </row>
    <row r="34" spans="1:18" ht="23.25" customHeight="1">
      <c r="A34" s="56">
        <f>'January 1, 2014'!A40*1.0225</f>
        <v>117.58539869534188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R34" s="51"/>
    </row>
    <row r="35" spans="1:18" ht="23.25" customHeight="1">
      <c r="A35" s="56">
        <f>'January 1, 2014'!A41*1.0225</f>
        <v>124.19653042500215</v>
      </c>
      <c r="B35" s="52" t="s">
        <v>122</v>
      </c>
      <c r="R35" s="51"/>
    </row>
    <row r="36" spans="1:18" ht="23.25" customHeight="1">
      <c r="A36" s="56">
        <f>'January 1, 2014'!A42*1.0225</f>
        <v>130.79577162996875</v>
      </c>
      <c r="B36" s="52" t="s">
        <v>123</v>
      </c>
      <c r="R36" s="51"/>
    </row>
    <row r="37" spans="1:18" ht="23.25" customHeight="1">
      <c r="A37" s="56">
        <f>'January 1, 2014'!A43*1.0225</f>
        <v>171.08086929199911</v>
      </c>
      <c r="B37" s="52" t="s">
        <v>124</v>
      </c>
      <c r="R37" s="51"/>
    </row>
    <row r="38" spans="1:18" ht="23.25" customHeight="1">
      <c r="A38" s="56">
        <f>'January 1, 2014'!A44*1.0225</f>
        <v>177.68011049696574</v>
      </c>
      <c r="B38" s="52" t="s">
        <v>125</v>
      </c>
      <c r="R38" s="51"/>
    </row>
    <row r="39" spans="1:18" ht="23.25" customHeight="1">
      <c r="A39" s="56">
        <f>'January 1, 2014'!A45*1.0225</f>
        <v>184.29124222662597</v>
      </c>
      <c r="B39" s="52" t="s">
        <v>126</v>
      </c>
      <c r="R39" s="51"/>
    </row>
    <row r="40" spans="1:18" ht="23.25" customHeight="1">
      <c r="A40" s="56">
        <f>'January 1, 2014'!A46*1.0225</f>
        <v>190.90237395628623</v>
      </c>
      <c r="B40" s="52" t="s">
        <v>127</v>
      </c>
      <c r="R40" s="51"/>
    </row>
    <row r="41" spans="1:18" ht="23.25" customHeight="1">
      <c r="A41" s="56">
        <f>'January 1, 2014'!A47*1.0225</f>
        <v>209.64184087345259</v>
      </c>
      <c r="B41" s="52" t="s">
        <v>128</v>
      </c>
      <c r="R41" s="51"/>
    </row>
    <row r="42" spans="1:18" ht="23.25" customHeight="1">
      <c r="A42" s="56">
        <f>'January 1, 2014'!A48*1.0225</f>
        <v>263.38701248867613</v>
      </c>
      <c r="B42" s="52" t="s">
        <v>129</v>
      </c>
      <c r="R42" s="51"/>
    </row>
    <row r="43" spans="1:18" ht="23.25" customHeight="1">
      <c r="A43" s="56">
        <f>'January 1, 2014'!A49*1.0225</f>
        <v>269.99814421833639</v>
      </c>
      <c r="B43" s="52" t="s">
        <v>130</v>
      </c>
      <c r="R43" s="51"/>
    </row>
    <row r="44" spans="1:18" ht="23.25" customHeight="1">
      <c r="A44" s="56">
        <f>'January 1, 2014'!A50*1.0225</f>
        <v>276.60927594799659</v>
      </c>
      <c r="B44" s="52" t="s">
        <v>131</v>
      </c>
      <c r="R44" s="51"/>
    </row>
    <row r="45" spans="1:18" ht="23.25" customHeight="1">
      <c r="A45" s="56">
        <f>'January 1, 2014'!A51*1.0225</f>
        <v>283.22040767765685</v>
      </c>
      <c r="B45" s="52" t="s">
        <v>132</v>
      </c>
      <c r="R45" s="51"/>
    </row>
    <row r="46" spans="1:18" ht="23.25" customHeight="1">
      <c r="A46" s="56">
        <f>'January 1, 2014'!A52*1.0225</f>
        <v>289.83153940731717</v>
      </c>
      <c r="B46" s="52" t="s">
        <v>133</v>
      </c>
      <c r="R46" s="51"/>
    </row>
    <row r="47" spans="1:18" ht="23.25" customHeight="1">
      <c r="A47" s="56">
        <f>'January 1, 2014'!A53*1.0225</f>
        <v>316.63278206676711</v>
      </c>
      <c r="B47" s="52" t="s">
        <v>134</v>
      </c>
      <c r="R47" s="51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41"/>
      <c r="N78" s="41"/>
      <c r="O78" s="4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41"/>
      <c r="N79" s="41"/>
      <c r="O79" s="4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</row>
    <row r="84" spans="1:14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51"/>
    </row>
    <row r="85" spans="1:14">
      <c r="A85" s="51"/>
      <c r="B85" s="52"/>
      <c r="N85" s="51"/>
    </row>
    <row r="86" spans="1:14">
      <c r="A86" s="51"/>
      <c r="B86" s="52"/>
      <c r="N86" s="51"/>
    </row>
    <row r="87" spans="1:14">
      <c r="A87" s="51"/>
      <c r="B87" s="52"/>
      <c r="N87" s="51"/>
    </row>
    <row r="88" spans="1:14">
      <c r="A88" s="51"/>
      <c r="B88" s="52"/>
      <c r="N88" s="51"/>
    </row>
    <row r="89" spans="1:14">
      <c r="A89" s="51"/>
      <c r="B89" s="52"/>
      <c r="N89" s="51"/>
    </row>
    <row r="90" spans="1:14">
      <c r="A90" s="51"/>
      <c r="B90" s="52"/>
      <c r="N90" s="51"/>
    </row>
    <row r="91" spans="1:14">
      <c r="A91" s="51"/>
      <c r="B91" s="52"/>
      <c r="N91" s="51"/>
    </row>
    <row r="92" spans="1:14">
      <c r="A92" s="51"/>
      <c r="B92" s="52"/>
      <c r="N92" s="51"/>
    </row>
    <row r="93" spans="1:14">
      <c r="A93" s="51"/>
      <c r="B93" s="52"/>
      <c r="N93" s="51"/>
    </row>
    <row r="94" spans="1:14">
      <c r="A94" s="51"/>
      <c r="B94" s="52"/>
      <c r="N94" s="51"/>
    </row>
    <row r="95" spans="1:14">
      <c r="A95" s="51"/>
      <c r="B95" s="52"/>
      <c r="N95" s="51"/>
    </row>
    <row r="96" spans="1:14">
      <c r="A96" s="51"/>
      <c r="B96" s="52"/>
      <c r="N96" s="51"/>
    </row>
    <row r="97" spans="1:14">
      <c r="A97" s="51"/>
      <c r="B97" s="52"/>
      <c r="N97" s="51"/>
    </row>
    <row r="98" spans="1:14">
      <c r="B98" s="52"/>
      <c r="N98" s="51"/>
    </row>
    <row r="99" spans="1:14">
      <c r="B99" s="52"/>
      <c r="N99" s="51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R101"/>
  <sheetViews>
    <sheetView workbookViewId="0">
      <selection activeCell="A5" sqref="A5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4.1328125" style="42" customWidth="1"/>
    <col min="7" max="12" width="6.59765625" style="42" customWidth="1"/>
    <col min="13" max="13" width="6.3984375" style="42" customWidth="1"/>
    <col min="14" max="14" width="24" style="42" customWidth="1"/>
    <col min="15" max="15" width="6.59765625" style="42" customWidth="1"/>
    <col min="16" max="16384" width="9.1328125" style="42"/>
  </cols>
  <sheetData>
    <row r="1" spans="1:14" ht="18">
      <c r="A1" s="55" t="s">
        <v>140</v>
      </c>
      <c r="B1" s="41"/>
      <c r="C1" s="41"/>
      <c r="D1" s="41"/>
      <c r="E1" s="41"/>
      <c r="F1" s="41"/>
      <c r="G1" s="41"/>
      <c r="H1" s="41"/>
    </row>
    <row r="2" spans="1:14">
      <c r="A2" s="43" t="s">
        <v>109</v>
      </c>
      <c r="B2" s="44"/>
      <c r="C2" s="44"/>
      <c r="D2" s="41"/>
      <c r="E2" s="41"/>
      <c r="F2" s="43" t="s">
        <v>80</v>
      </c>
      <c r="G2" s="41"/>
      <c r="H2" s="41"/>
      <c r="I2" s="41"/>
      <c r="J2" s="41"/>
      <c r="K2" s="41"/>
      <c r="L2" s="41"/>
      <c r="M2" s="41"/>
      <c r="N2" s="41"/>
    </row>
    <row r="3" spans="1:14" ht="28.5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5</v>
      </c>
      <c r="F3" s="44" t="s">
        <v>6</v>
      </c>
      <c r="G3" s="45" t="s">
        <v>7</v>
      </c>
      <c r="H3" s="45" t="s">
        <v>8</v>
      </c>
      <c r="I3" s="45" t="s">
        <v>9</v>
      </c>
      <c r="J3" s="45" t="s">
        <v>10</v>
      </c>
      <c r="K3" s="45" t="s">
        <v>11</v>
      </c>
      <c r="L3" s="45" t="s">
        <v>12</v>
      </c>
      <c r="M3" s="45"/>
      <c r="N3" s="45"/>
    </row>
    <row r="4" spans="1:14" ht="18.75" customHeight="1">
      <c r="A4" s="46" t="s">
        <v>158</v>
      </c>
      <c r="B4" s="46" t="s">
        <v>115</v>
      </c>
      <c r="C4" s="44"/>
      <c r="D4" s="42" t="s">
        <v>84</v>
      </c>
      <c r="E4" s="44"/>
      <c r="F4" s="44" t="s">
        <v>17</v>
      </c>
      <c r="G4" s="47">
        <v>1473.6117374160483</v>
      </c>
      <c r="H4" s="45"/>
      <c r="I4" s="45"/>
      <c r="J4" s="45"/>
      <c r="K4" s="45"/>
      <c r="L4" s="45"/>
      <c r="M4" s="45"/>
      <c r="N4" s="45"/>
    </row>
    <row r="5" spans="1:14" ht="18.75" customHeight="1">
      <c r="A5" s="46" t="s">
        <v>15</v>
      </c>
      <c r="B5" s="46" t="s">
        <v>115</v>
      </c>
      <c r="C5" s="46">
        <v>1</v>
      </c>
      <c r="D5" s="42" t="s">
        <v>16</v>
      </c>
      <c r="E5" s="42">
        <v>353</v>
      </c>
      <c r="F5" s="46" t="s">
        <v>17</v>
      </c>
      <c r="G5" s="47">
        <v>2105.1596248800693</v>
      </c>
      <c r="H5" s="47">
        <v>2210.4176061240728</v>
      </c>
      <c r="I5" s="47">
        <v>2320.9384864302765</v>
      </c>
      <c r="J5" s="47">
        <v>2436.9854107517904</v>
      </c>
      <c r="K5" s="47">
        <v>2558.8346812893801</v>
      </c>
      <c r="L5" s="47">
        <v>2686.7764153538492</v>
      </c>
    </row>
    <row r="6" spans="1:14" ht="18.75" customHeight="1">
      <c r="A6" s="46" t="s">
        <v>19</v>
      </c>
      <c r="B6" s="46" t="s">
        <v>115</v>
      </c>
      <c r="C6" s="46">
        <v>1</v>
      </c>
      <c r="D6" s="42" t="s">
        <v>20</v>
      </c>
      <c r="E6" s="42">
        <v>353</v>
      </c>
      <c r="F6" s="46" t="s">
        <v>17</v>
      </c>
      <c r="G6" s="47">
        <v>2105.1596248800693</v>
      </c>
      <c r="H6" s="47">
        <v>2210.4176061240728</v>
      </c>
      <c r="I6" s="47">
        <v>2320.9384864302765</v>
      </c>
      <c r="J6" s="47">
        <v>2436.9854107517904</v>
      </c>
      <c r="K6" s="47">
        <v>2558.8346812893801</v>
      </c>
      <c r="L6" s="47">
        <v>2686.7764153538492</v>
      </c>
    </row>
    <row r="7" spans="1:14" ht="18.75" customHeight="1">
      <c r="A7" s="46" t="s">
        <v>21</v>
      </c>
      <c r="B7" s="46" t="s">
        <v>115</v>
      </c>
      <c r="C7" s="46">
        <v>1</v>
      </c>
      <c r="D7" s="42" t="s">
        <v>22</v>
      </c>
      <c r="F7" s="46" t="s">
        <v>17</v>
      </c>
      <c r="G7" s="47">
        <v>2105.1596248800693</v>
      </c>
      <c r="H7" s="47">
        <v>2210.4176061240728</v>
      </c>
      <c r="I7" s="47">
        <v>2320.9384864302765</v>
      </c>
      <c r="J7" s="47">
        <v>2436.9854107517904</v>
      </c>
      <c r="K7" s="47">
        <v>2558.8346812893801</v>
      </c>
      <c r="L7" s="47">
        <v>2686.7764153538492</v>
      </c>
    </row>
    <row r="8" spans="1:14" ht="18.75" customHeight="1">
      <c r="A8" s="46" t="s">
        <v>23</v>
      </c>
      <c r="B8" s="46" t="s">
        <v>115</v>
      </c>
      <c r="C8" s="46">
        <v>2</v>
      </c>
      <c r="D8" s="42" t="s">
        <v>24</v>
      </c>
      <c r="F8" s="46" t="s">
        <v>17</v>
      </c>
      <c r="G8" s="47">
        <v>2737.5184874499018</v>
      </c>
      <c r="H8" s="47">
        <v>2845.0163117152015</v>
      </c>
      <c r="I8" s="47">
        <v>3017.8710480792479</v>
      </c>
      <c r="J8" s="47"/>
      <c r="K8" s="47"/>
      <c r="L8" s="47"/>
    </row>
    <row r="9" spans="1:14" ht="18.75" customHeight="1">
      <c r="A9" s="46" t="s">
        <v>77</v>
      </c>
      <c r="B9" s="46" t="s">
        <v>115</v>
      </c>
      <c r="C9" s="46">
        <v>2</v>
      </c>
      <c r="D9" s="42" t="s">
        <v>26</v>
      </c>
      <c r="F9" s="46" t="s">
        <v>17</v>
      </c>
      <c r="G9" s="47">
        <v>2737.5184874499018</v>
      </c>
      <c r="H9" s="47">
        <v>2845.0163117152015</v>
      </c>
      <c r="I9" s="47">
        <v>3017.8710480792479</v>
      </c>
      <c r="J9" s="47"/>
      <c r="K9" s="47"/>
      <c r="L9" s="47"/>
    </row>
    <row r="10" spans="1:14" ht="18.75" customHeight="1">
      <c r="A10" s="46" t="s">
        <v>27</v>
      </c>
      <c r="B10" s="46" t="s">
        <v>115</v>
      </c>
      <c r="C10" s="46">
        <v>2</v>
      </c>
      <c r="D10" s="42" t="s">
        <v>28</v>
      </c>
      <c r="F10" s="46" t="s">
        <v>17</v>
      </c>
      <c r="G10" s="47">
        <v>2737.5184874499018</v>
      </c>
      <c r="H10" s="47">
        <v>2845.0163117152015</v>
      </c>
      <c r="I10" s="47">
        <v>3017.8710480792479</v>
      </c>
      <c r="J10" s="47"/>
      <c r="K10" s="47"/>
      <c r="L10" s="47"/>
    </row>
    <row r="11" spans="1:14" ht="18.75" customHeight="1">
      <c r="A11" s="46" t="s">
        <v>29</v>
      </c>
      <c r="B11" s="46" t="s">
        <v>115</v>
      </c>
      <c r="C11" s="46">
        <v>2</v>
      </c>
      <c r="D11" s="42" t="s">
        <v>30</v>
      </c>
      <c r="F11" s="46" t="s">
        <v>17</v>
      </c>
      <c r="G11" s="47">
        <v>3103.0110899519182</v>
      </c>
      <c r="H11" s="47">
        <v>3226.0363777222051</v>
      </c>
      <c r="I11" s="47">
        <v>3423.492516953168</v>
      </c>
      <c r="J11" s="47"/>
      <c r="K11" s="47"/>
      <c r="L11" s="47"/>
    </row>
    <row r="12" spans="1:14" ht="18.75" customHeight="1">
      <c r="A12" s="46" t="s">
        <v>31</v>
      </c>
      <c r="B12" s="46" t="s">
        <v>115</v>
      </c>
      <c r="C12" s="46">
        <v>3</v>
      </c>
      <c r="D12" s="42" t="s">
        <v>32</v>
      </c>
      <c r="F12" s="46" t="s">
        <v>17</v>
      </c>
      <c r="G12" s="47">
        <v>3103.0110899519182</v>
      </c>
      <c r="H12" s="47">
        <v>3226.0363777222051</v>
      </c>
      <c r="I12" s="47">
        <v>3423.492516953168</v>
      </c>
      <c r="J12" s="47"/>
      <c r="K12" s="47"/>
      <c r="L12" s="47"/>
    </row>
    <row r="13" spans="1:14" ht="18.75" customHeight="1">
      <c r="A13" s="46" t="s">
        <v>33</v>
      </c>
      <c r="B13" s="46" t="s">
        <v>115</v>
      </c>
      <c r="C13" s="46">
        <v>3</v>
      </c>
      <c r="D13" s="42" t="s">
        <v>34</v>
      </c>
      <c r="F13" s="46" t="s">
        <v>17</v>
      </c>
      <c r="G13" s="47">
        <v>3103.0110899519182</v>
      </c>
      <c r="H13" s="47">
        <v>3226.0363777222051</v>
      </c>
      <c r="I13" s="47">
        <v>3423.492516953168</v>
      </c>
      <c r="J13" s="47"/>
      <c r="K13" s="47"/>
      <c r="L13" s="47"/>
    </row>
    <row r="14" spans="1:14" ht="18.75" customHeight="1">
      <c r="A14" s="46" t="s">
        <v>35</v>
      </c>
      <c r="B14" s="46" t="s">
        <v>115</v>
      </c>
      <c r="C14" s="46">
        <v>3</v>
      </c>
      <c r="D14" s="42" t="s">
        <v>36</v>
      </c>
      <c r="F14" s="46" t="s">
        <v>17</v>
      </c>
      <c r="G14" s="47">
        <v>3103.0110899519182</v>
      </c>
      <c r="H14" s="47">
        <v>3226.0363777222051</v>
      </c>
      <c r="I14" s="47">
        <v>3423.492516953168</v>
      </c>
      <c r="J14" s="47"/>
      <c r="K14" s="47"/>
      <c r="L14" s="47"/>
    </row>
    <row r="15" spans="1:14" ht="18.75" customHeight="1">
      <c r="A15" s="46" t="s">
        <v>37</v>
      </c>
      <c r="B15" s="46" t="s">
        <v>115</v>
      </c>
      <c r="C15" s="46">
        <v>3</v>
      </c>
      <c r="D15" s="42" t="s">
        <v>38</v>
      </c>
      <c r="F15" s="46" t="s">
        <v>17</v>
      </c>
      <c r="G15" s="47">
        <v>3103.0110899519182</v>
      </c>
      <c r="H15" s="47">
        <v>3226.0363777222051</v>
      </c>
      <c r="I15" s="47">
        <v>3423.492516953168</v>
      </c>
      <c r="J15" s="47"/>
      <c r="K15" s="47"/>
      <c r="L15" s="47"/>
    </row>
    <row r="16" spans="1:14" ht="18.75" customHeight="1">
      <c r="A16" s="46" t="s">
        <v>41</v>
      </c>
      <c r="B16" s="46" t="s">
        <v>115</v>
      </c>
      <c r="C16" s="46">
        <v>4</v>
      </c>
      <c r="D16" s="48" t="s">
        <v>113</v>
      </c>
      <c r="F16" s="46" t="s">
        <v>17</v>
      </c>
      <c r="G16" s="47">
        <v>3175.8707263983983</v>
      </c>
      <c r="H16" s="47">
        <v>3229.6196385310482</v>
      </c>
      <c r="I16" s="47">
        <v>3284.562970933312</v>
      </c>
      <c r="J16" s="47">
        <v>3339.5063033355764</v>
      </c>
      <c r="K16" s="47">
        <v>3543.2241553557105</v>
      </c>
      <c r="L16" s="47"/>
    </row>
    <row r="17" spans="1:18" ht="18.75" customHeight="1">
      <c r="A17" s="46" t="s">
        <v>39</v>
      </c>
      <c r="B17" s="46" t="s">
        <v>115</v>
      </c>
      <c r="C17" s="46">
        <v>4</v>
      </c>
      <c r="D17" s="42" t="s">
        <v>42</v>
      </c>
      <c r="E17" s="41"/>
      <c r="F17" s="46" t="s">
        <v>17</v>
      </c>
      <c r="G17" s="47">
        <v>3175.8707263983983</v>
      </c>
      <c r="H17" s="47">
        <v>3229.6196385310482</v>
      </c>
      <c r="I17" s="47">
        <v>3284.562970933312</v>
      </c>
      <c r="J17" s="47">
        <v>3339.5063033355764</v>
      </c>
      <c r="K17" s="47">
        <v>3543.2241553557105</v>
      </c>
      <c r="L17" s="47"/>
    </row>
    <row r="18" spans="1:18" ht="27.75" customHeight="1">
      <c r="A18" s="42" t="s">
        <v>141</v>
      </c>
      <c r="C18" s="46"/>
      <c r="G18" s="46"/>
      <c r="H18" s="46"/>
      <c r="I18" s="46"/>
      <c r="J18" s="46"/>
      <c r="K18" s="46"/>
      <c r="L18" s="46"/>
      <c r="M18" s="46"/>
    </row>
    <row r="19" spans="1:18" ht="17.25" customHeight="1">
      <c r="B19" s="49">
        <v>0.86744350271229953</v>
      </c>
      <c r="C19" s="50" t="s">
        <v>45</v>
      </c>
      <c r="G19" s="46"/>
      <c r="H19" s="46"/>
      <c r="I19" s="46"/>
      <c r="J19" s="46"/>
      <c r="K19" s="46"/>
      <c r="L19" s="46"/>
      <c r="M19" s="46"/>
      <c r="R19" s="46"/>
    </row>
    <row r="20" spans="1:18" ht="17.25" customHeight="1">
      <c r="B20" s="49">
        <v>0.37874293780396179</v>
      </c>
      <c r="C20" s="50" t="s">
        <v>46</v>
      </c>
      <c r="G20" s="46"/>
      <c r="H20" s="46"/>
      <c r="I20" s="46"/>
      <c r="J20" s="46"/>
      <c r="K20" s="46"/>
      <c r="L20" s="46"/>
      <c r="M20" s="46"/>
      <c r="R20" s="46"/>
    </row>
    <row r="21" spans="1:18" ht="17.25" customHeight="1">
      <c r="A21" s="42" t="s">
        <v>111</v>
      </c>
      <c r="C21" s="46"/>
      <c r="G21" s="46"/>
      <c r="H21" s="46"/>
      <c r="I21" s="46"/>
      <c r="J21" s="46"/>
      <c r="K21" s="46"/>
      <c r="L21" s="46"/>
      <c r="M21" s="46"/>
    </row>
    <row r="22" spans="1:18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  <c r="M22" s="46"/>
    </row>
    <row r="23" spans="1:18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46"/>
    </row>
    <row r="24" spans="1:18" ht="17.25" customHeight="1">
      <c r="A24" s="50" t="s">
        <v>50</v>
      </c>
      <c r="C24" s="46"/>
      <c r="G24" s="46"/>
      <c r="H24" s="46"/>
      <c r="I24" s="46"/>
      <c r="J24" s="46"/>
      <c r="K24" s="46"/>
      <c r="L24" s="46"/>
      <c r="M24" s="46"/>
    </row>
    <row r="25" spans="1:18" ht="17.25" customHeight="1">
      <c r="A25" s="42" t="s">
        <v>51</v>
      </c>
      <c r="C25" s="46"/>
      <c r="G25" s="46"/>
      <c r="H25" s="46"/>
      <c r="I25" s="46"/>
      <c r="J25" s="46"/>
      <c r="K25" s="46"/>
      <c r="L25" s="46"/>
      <c r="M25" s="46"/>
    </row>
    <row r="26" spans="1:18" ht="17.25" customHeight="1">
      <c r="A26" s="50" t="s">
        <v>52</v>
      </c>
      <c r="B26" s="46"/>
      <c r="C26" s="46"/>
    </row>
    <row r="27" spans="1:18" ht="17.25" customHeight="1">
      <c r="A27" s="50"/>
      <c r="B27" s="46"/>
      <c r="C27" s="46"/>
    </row>
    <row r="28" spans="1:18" ht="27.75" customHeight="1">
      <c r="A28" s="41" t="s">
        <v>136</v>
      </c>
      <c r="B28" s="42" t="s">
        <v>139</v>
      </c>
    </row>
    <row r="29" spans="1:18" ht="17.25" customHeight="1">
      <c r="A29" s="49">
        <v>14.954237286195136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8" ht="17.25" customHeight="1">
      <c r="A30" s="49">
        <v>21.209604517021859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R30" s="51"/>
    </row>
    <row r="31" spans="1:18" ht="17.25" customHeight="1">
      <c r="A31" s="49">
        <v>27.464971747848583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R31" s="51"/>
    </row>
    <row r="32" spans="1:18" ht="17.25" customHeight="1">
      <c r="A32" s="49">
        <v>33.720338978675315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R32" s="51"/>
    </row>
    <row r="33" spans="1:18" ht="17.25" customHeight="1">
      <c r="A33" s="49">
        <v>39.975706209502029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R33" s="51"/>
    </row>
    <row r="34" spans="1:18" ht="17.25" customHeight="1">
      <c r="A34" s="49">
        <v>120.81899715946379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R34" s="51"/>
    </row>
    <row r="35" spans="1:18" ht="17.25" customHeight="1">
      <c r="A35" s="49">
        <v>127.61193501168972</v>
      </c>
      <c r="B35" s="52" t="s">
        <v>122</v>
      </c>
      <c r="R35" s="51"/>
    </row>
    <row r="36" spans="1:18" ht="17.25" customHeight="1">
      <c r="A36" s="49">
        <v>134.3926553497929</v>
      </c>
      <c r="B36" s="52" t="s">
        <v>123</v>
      </c>
      <c r="R36" s="51"/>
    </row>
    <row r="37" spans="1:18" ht="17.25" customHeight="1">
      <c r="A37" s="49">
        <v>175.7855931975291</v>
      </c>
      <c r="B37" s="52" t="s">
        <v>124</v>
      </c>
      <c r="R37" s="51"/>
    </row>
    <row r="38" spans="1:18" ht="17.25" customHeight="1">
      <c r="A38" s="49">
        <v>182.5663135356323</v>
      </c>
      <c r="B38" s="52" t="s">
        <v>125</v>
      </c>
      <c r="R38" s="51"/>
    </row>
    <row r="39" spans="1:18" ht="17.25" customHeight="1">
      <c r="A39" s="49">
        <v>189.35925138785819</v>
      </c>
      <c r="B39" s="52" t="s">
        <v>126</v>
      </c>
      <c r="R39" s="51"/>
    </row>
    <row r="40" spans="1:18" ht="17.25" customHeight="1">
      <c r="A40" s="49">
        <v>196.15218924008411</v>
      </c>
      <c r="B40" s="52" t="s">
        <v>127</v>
      </c>
      <c r="R40" s="51"/>
    </row>
    <row r="41" spans="1:18" ht="17.25" customHeight="1">
      <c r="A41" s="49">
        <v>215.40699149747255</v>
      </c>
      <c r="B41" s="52" t="s">
        <v>128</v>
      </c>
      <c r="R41" s="51"/>
    </row>
    <row r="42" spans="1:18" ht="17.25" customHeight="1">
      <c r="A42" s="49">
        <v>270.63015533211473</v>
      </c>
      <c r="B42" s="52" t="s">
        <v>129</v>
      </c>
      <c r="R42" s="51"/>
    </row>
    <row r="43" spans="1:18" ht="17.25" customHeight="1">
      <c r="A43" s="49">
        <v>277.42309318434064</v>
      </c>
      <c r="B43" s="52" t="s">
        <v>130</v>
      </c>
      <c r="R43" s="51"/>
    </row>
    <row r="44" spans="1:18" ht="17.25" customHeight="1">
      <c r="A44" s="49">
        <v>284.21603103656651</v>
      </c>
      <c r="B44" s="52" t="s">
        <v>131</v>
      </c>
      <c r="R44" s="51"/>
    </row>
    <row r="45" spans="1:18" ht="17.25" customHeight="1">
      <c r="A45" s="49">
        <v>291.00896888879242</v>
      </c>
      <c r="B45" s="52" t="s">
        <v>132</v>
      </c>
      <c r="R45" s="51"/>
    </row>
    <row r="46" spans="1:18" ht="17.25" customHeight="1">
      <c r="A46" s="49">
        <v>297.8019067410184</v>
      </c>
      <c r="B46" s="52" t="s">
        <v>133</v>
      </c>
      <c r="R46" s="51"/>
    </row>
    <row r="47" spans="1:18" ht="17.25" customHeight="1">
      <c r="A47" s="49">
        <v>325.34018357360321</v>
      </c>
      <c r="B47" s="52" t="s">
        <v>134</v>
      </c>
      <c r="R47" s="51"/>
    </row>
    <row r="48" spans="1:18" ht="17.25" customHeight="1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41"/>
      <c r="N78" s="41"/>
      <c r="O78" s="4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41"/>
      <c r="N79" s="41"/>
      <c r="O79" s="4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</row>
    <row r="84" spans="1:14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51"/>
    </row>
    <row r="85" spans="1:14">
      <c r="A85" s="51"/>
      <c r="B85" s="52"/>
      <c r="N85" s="51"/>
    </row>
    <row r="86" spans="1:14">
      <c r="A86" s="51"/>
      <c r="B86" s="52"/>
      <c r="N86" s="51"/>
    </row>
    <row r="87" spans="1:14">
      <c r="A87" s="51"/>
      <c r="B87" s="52"/>
      <c r="N87" s="51"/>
    </row>
    <row r="88" spans="1:14">
      <c r="A88" s="51"/>
      <c r="B88" s="52"/>
      <c r="N88" s="51"/>
    </row>
    <row r="89" spans="1:14">
      <c r="A89" s="51"/>
      <c r="B89" s="52"/>
      <c r="N89" s="51"/>
    </row>
    <row r="90" spans="1:14">
      <c r="A90" s="51"/>
      <c r="B90" s="52"/>
      <c r="N90" s="51"/>
    </row>
    <row r="91" spans="1:14">
      <c r="A91" s="51"/>
      <c r="B91" s="52"/>
      <c r="N91" s="51"/>
    </row>
    <row r="92" spans="1:14">
      <c r="A92" s="51"/>
      <c r="B92" s="52"/>
      <c r="N92" s="51"/>
    </row>
    <row r="93" spans="1:14">
      <c r="A93" s="51"/>
      <c r="B93" s="52"/>
      <c r="N93" s="51"/>
    </row>
    <row r="94" spans="1:14">
      <c r="A94" s="51"/>
      <c r="B94" s="52"/>
      <c r="N94" s="51"/>
    </row>
    <row r="95" spans="1:14">
      <c r="A95" s="51"/>
      <c r="B95" s="52"/>
      <c r="N95" s="51"/>
    </row>
    <row r="96" spans="1:14">
      <c r="A96" s="51"/>
      <c r="B96" s="52"/>
      <c r="N96" s="51"/>
    </row>
    <row r="97" spans="1:14">
      <c r="A97" s="51"/>
      <c r="B97" s="52"/>
      <c r="N97" s="51"/>
    </row>
    <row r="98" spans="1:14">
      <c r="B98" s="52"/>
      <c r="N98" s="51"/>
    </row>
    <row r="99" spans="1:14">
      <c r="B99" s="52"/>
      <c r="N99" s="51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R101"/>
  <sheetViews>
    <sheetView topLeftCell="A15" workbookViewId="0">
      <selection activeCell="Z13" sqref="Z13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4.1328125" style="42" customWidth="1"/>
    <col min="7" max="12" width="6.59765625" style="42" customWidth="1"/>
    <col min="13" max="13" width="24.59765625" style="42" customWidth="1"/>
    <col min="14" max="14" width="11" style="42" bestFit="1" customWidth="1"/>
    <col min="15" max="15" width="6.59765625" style="42" customWidth="1"/>
    <col min="16" max="16384" width="9.1328125" style="42"/>
  </cols>
  <sheetData>
    <row r="1" spans="1:14" ht="18">
      <c r="A1" s="55" t="s">
        <v>140</v>
      </c>
      <c r="B1" s="41"/>
      <c r="C1" s="41"/>
      <c r="D1" s="41"/>
      <c r="E1" s="41"/>
      <c r="F1" s="41"/>
      <c r="G1" s="41"/>
      <c r="H1" s="41"/>
    </row>
    <row r="2" spans="1:14">
      <c r="A2" s="43" t="s">
        <v>108</v>
      </c>
      <c r="B2" s="44"/>
      <c r="C2" s="44"/>
      <c r="D2" s="41"/>
      <c r="E2" s="41"/>
      <c r="F2" s="43" t="s">
        <v>80</v>
      </c>
      <c r="G2" s="41"/>
      <c r="H2" s="41"/>
      <c r="I2" s="41"/>
      <c r="J2" s="41"/>
      <c r="K2" s="41"/>
      <c r="L2" s="41"/>
      <c r="M2" s="41"/>
      <c r="N2" s="41"/>
    </row>
    <row r="3" spans="1:14" ht="28.5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5</v>
      </c>
      <c r="F3" s="44" t="s">
        <v>6</v>
      </c>
      <c r="G3" s="45" t="s">
        <v>7</v>
      </c>
      <c r="H3" s="45" t="s">
        <v>8</v>
      </c>
      <c r="I3" s="45" t="s">
        <v>9</v>
      </c>
      <c r="J3" s="45" t="s">
        <v>10</v>
      </c>
      <c r="K3" s="45" t="s">
        <v>11</v>
      </c>
      <c r="L3" s="45" t="s">
        <v>12</v>
      </c>
      <c r="M3" s="45"/>
      <c r="N3" s="45"/>
    </row>
    <row r="4" spans="1:14" ht="18.75" customHeight="1">
      <c r="A4" s="63" t="s">
        <v>157</v>
      </c>
      <c r="B4" s="46" t="s">
        <v>115</v>
      </c>
      <c r="C4" s="44" t="s">
        <v>156</v>
      </c>
      <c r="D4" s="42" t="s">
        <v>84</v>
      </c>
      <c r="E4" s="44"/>
      <c r="F4" s="44" t="s">
        <v>17</v>
      </c>
      <c r="G4" s="47">
        <v>1592.2090775839379</v>
      </c>
      <c r="H4" s="45"/>
      <c r="I4" s="45"/>
      <c r="J4" s="45"/>
      <c r="K4" s="45"/>
      <c r="L4" s="45"/>
      <c r="M4" s="45"/>
      <c r="N4" s="45"/>
    </row>
    <row r="5" spans="1:14" ht="18.75" customHeight="1">
      <c r="A5" s="46" t="s">
        <v>15</v>
      </c>
      <c r="B5" s="46" t="s">
        <v>115</v>
      </c>
      <c r="C5" s="44" t="s">
        <v>148</v>
      </c>
      <c r="D5" s="42" t="s">
        <v>16</v>
      </c>
      <c r="E5" s="42">
        <v>353</v>
      </c>
      <c r="F5" s="46" t="s">
        <v>17</v>
      </c>
      <c r="G5" s="47">
        <v>2274.5843965484828</v>
      </c>
      <c r="H5" s="47">
        <v>2365.5677724104221</v>
      </c>
      <c r="I5" s="47">
        <v>2460.1904833068393</v>
      </c>
      <c r="J5" s="47">
        <v>2558.5981026391128</v>
      </c>
      <c r="K5" s="47">
        <v>2660.9420267446776</v>
      </c>
      <c r="L5" s="47">
        <v>2767.3797078144648</v>
      </c>
    </row>
    <row r="6" spans="1:14" ht="18.75" customHeight="1">
      <c r="A6" s="46" t="s">
        <v>19</v>
      </c>
      <c r="B6" s="46" t="s">
        <v>115</v>
      </c>
      <c r="C6" s="44" t="s">
        <v>149</v>
      </c>
      <c r="D6" s="42" t="s">
        <v>20</v>
      </c>
      <c r="E6" s="42">
        <v>353</v>
      </c>
      <c r="F6" s="46" t="s">
        <v>17</v>
      </c>
      <c r="G6" s="47">
        <v>2274.5843965484828</v>
      </c>
      <c r="H6" s="47">
        <v>2365.5677724104221</v>
      </c>
      <c r="I6" s="47">
        <v>2460.1904833068393</v>
      </c>
      <c r="J6" s="47">
        <v>2558.5981026391128</v>
      </c>
      <c r="K6" s="47">
        <v>2660.9420267446776</v>
      </c>
      <c r="L6" s="47">
        <v>2767.3797078144648</v>
      </c>
    </row>
    <row r="7" spans="1:14" ht="18.75" customHeight="1">
      <c r="A7" s="46" t="s">
        <v>21</v>
      </c>
      <c r="B7" s="46" t="s">
        <v>115</v>
      </c>
      <c r="C7" s="44" t="s">
        <v>148</v>
      </c>
      <c r="D7" s="42" t="s">
        <v>22</v>
      </c>
      <c r="F7" s="46" t="s">
        <v>17</v>
      </c>
      <c r="G7" s="47">
        <v>2274.5843965484828</v>
      </c>
      <c r="H7" s="47">
        <v>2365.5677724104221</v>
      </c>
      <c r="I7" s="47">
        <v>2460.1904833068393</v>
      </c>
      <c r="J7" s="47">
        <v>2558.5981026391128</v>
      </c>
      <c r="K7" s="47">
        <v>2660.9420267446776</v>
      </c>
      <c r="L7" s="47">
        <v>2767.3797078144648</v>
      </c>
    </row>
    <row r="8" spans="1:14" ht="18.75" customHeight="1">
      <c r="A8" s="46" t="s">
        <v>23</v>
      </c>
      <c r="B8" s="46" t="s">
        <v>115</v>
      </c>
      <c r="C8" s="44" t="s">
        <v>150</v>
      </c>
      <c r="D8" s="42" t="s">
        <v>24</v>
      </c>
      <c r="F8" s="46" t="s">
        <v>17</v>
      </c>
      <c r="G8" s="47">
        <v>2819.6440420733989</v>
      </c>
      <c r="H8" s="47">
        <v>2930.3668010666574</v>
      </c>
      <c r="I8" s="47">
        <v>3108.4071795216255</v>
      </c>
      <c r="J8" s="47"/>
      <c r="K8" s="47"/>
      <c r="L8" s="47"/>
    </row>
    <row r="9" spans="1:14" ht="18.75" customHeight="1">
      <c r="A9" s="46" t="s">
        <v>77</v>
      </c>
      <c r="B9" s="46" t="s">
        <v>115</v>
      </c>
      <c r="C9" s="44" t="s">
        <v>151</v>
      </c>
      <c r="D9" s="42" t="s">
        <v>26</v>
      </c>
      <c r="F9" s="46" t="s">
        <v>17</v>
      </c>
      <c r="G9" s="47">
        <v>2819.6440420733989</v>
      </c>
      <c r="H9" s="47">
        <v>2930.3668010666574</v>
      </c>
      <c r="I9" s="47">
        <v>3108.4071795216255</v>
      </c>
      <c r="J9" s="47"/>
      <c r="K9" s="47"/>
      <c r="L9" s="47"/>
    </row>
    <row r="10" spans="1:14" ht="18.75" customHeight="1">
      <c r="A10" s="46" t="s">
        <v>27</v>
      </c>
      <c r="B10" s="46" t="s">
        <v>115</v>
      </c>
      <c r="C10" s="44" t="s">
        <v>150</v>
      </c>
      <c r="D10" s="42" t="s">
        <v>28</v>
      </c>
      <c r="F10" s="46" t="s">
        <v>17</v>
      </c>
      <c r="G10" s="47">
        <v>2819.6440420733989</v>
      </c>
      <c r="H10" s="47">
        <v>2930.3668010666574</v>
      </c>
      <c r="I10" s="47">
        <v>3108.4071795216255</v>
      </c>
      <c r="J10" s="47"/>
      <c r="K10" s="47"/>
      <c r="L10" s="47"/>
    </row>
    <row r="11" spans="1:14" ht="18.75" customHeight="1">
      <c r="A11" s="46" t="s">
        <v>29</v>
      </c>
      <c r="B11" s="46" t="s">
        <v>115</v>
      </c>
      <c r="C11" s="44" t="s">
        <v>152</v>
      </c>
      <c r="D11" s="42" t="s">
        <v>30</v>
      </c>
      <c r="F11" s="46" t="s">
        <v>17</v>
      </c>
      <c r="G11" s="47">
        <v>3196.1014226504758</v>
      </c>
      <c r="H11" s="47">
        <v>3322.8174690538713</v>
      </c>
      <c r="I11" s="47">
        <v>3526.197292461763</v>
      </c>
      <c r="J11" s="47"/>
      <c r="K11" s="47"/>
      <c r="L11" s="47"/>
    </row>
    <row r="12" spans="1:14" ht="18.75" customHeight="1">
      <c r="A12" s="46" t="s">
        <v>31</v>
      </c>
      <c r="B12" s="46" t="s">
        <v>115</v>
      </c>
      <c r="C12" s="44" t="s">
        <v>153</v>
      </c>
      <c r="D12" s="42" t="s">
        <v>32</v>
      </c>
      <c r="F12" s="46" t="s">
        <v>17</v>
      </c>
      <c r="G12" s="47">
        <v>3196.1014226504758</v>
      </c>
      <c r="H12" s="47">
        <v>3322.8174690538713</v>
      </c>
      <c r="I12" s="47">
        <v>3526.197292461763</v>
      </c>
      <c r="J12" s="47"/>
      <c r="K12" s="47"/>
      <c r="L12" s="47"/>
    </row>
    <row r="13" spans="1:14" ht="18.75" customHeight="1">
      <c r="A13" s="46" t="s">
        <v>33</v>
      </c>
      <c r="B13" s="46" t="s">
        <v>115</v>
      </c>
      <c r="C13" s="44" t="s">
        <v>152</v>
      </c>
      <c r="D13" s="42" t="s">
        <v>34</v>
      </c>
      <c r="F13" s="46" t="s">
        <v>17</v>
      </c>
      <c r="G13" s="47">
        <v>3196.1014226504758</v>
      </c>
      <c r="H13" s="47">
        <v>3322.8174690538713</v>
      </c>
      <c r="I13" s="47">
        <v>3526.197292461763</v>
      </c>
      <c r="J13" s="47"/>
      <c r="K13" s="47"/>
      <c r="L13" s="47"/>
    </row>
    <row r="14" spans="1:14" ht="18.75" customHeight="1">
      <c r="A14" s="46" t="s">
        <v>35</v>
      </c>
      <c r="B14" s="46" t="s">
        <v>115</v>
      </c>
      <c r="C14" s="44" t="s">
        <v>153</v>
      </c>
      <c r="D14" s="42" t="s">
        <v>36</v>
      </c>
      <c r="F14" s="46" t="s">
        <v>17</v>
      </c>
      <c r="G14" s="47">
        <v>3196.1014226504758</v>
      </c>
      <c r="H14" s="47">
        <v>3322.8174690538713</v>
      </c>
      <c r="I14" s="47">
        <v>3526.197292461763</v>
      </c>
      <c r="J14" s="47"/>
      <c r="K14" s="47"/>
      <c r="L14" s="47"/>
    </row>
    <row r="15" spans="1:14" ht="18.75" customHeight="1">
      <c r="A15" s="46" t="s">
        <v>37</v>
      </c>
      <c r="B15" s="46" t="s">
        <v>115</v>
      </c>
      <c r="C15" s="44" t="s">
        <v>152</v>
      </c>
      <c r="D15" s="42" t="s">
        <v>38</v>
      </c>
      <c r="F15" s="46" t="s">
        <v>17</v>
      </c>
      <c r="G15" s="47">
        <v>3196.1014226504758</v>
      </c>
      <c r="H15" s="47">
        <v>3322.8174690538713</v>
      </c>
      <c r="I15" s="47">
        <v>3526.197292461763</v>
      </c>
      <c r="J15" s="47"/>
      <c r="K15" s="47"/>
      <c r="L15" s="47"/>
    </row>
    <row r="16" spans="1:14" ht="18.75" customHeight="1">
      <c r="A16" s="46" t="s">
        <v>41</v>
      </c>
      <c r="B16" s="46" t="s">
        <v>115</v>
      </c>
      <c r="C16" s="44" t="s">
        <v>154</v>
      </c>
      <c r="D16" s="48" t="s">
        <v>113</v>
      </c>
      <c r="F16" s="46" t="s">
        <v>17</v>
      </c>
      <c r="G16" s="47">
        <v>3271.1468481903503</v>
      </c>
      <c r="H16" s="47">
        <v>3326.5082276869798</v>
      </c>
      <c r="I16" s="47">
        <v>3383.0998600613116</v>
      </c>
      <c r="J16" s="47">
        <v>3439.6914924356438</v>
      </c>
      <c r="K16" s="47">
        <v>3649.5208800163819</v>
      </c>
      <c r="L16" s="47"/>
    </row>
    <row r="17" spans="1:18" ht="18.75" customHeight="1">
      <c r="A17" s="46" t="s">
        <v>39</v>
      </c>
      <c r="B17" s="46" t="s">
        <v>115</v>
      </c>
      <c r="C17" s="44" t="s">
        <v>155</v>
      </c>
      <c r="D17" s="42" t="s">
        <v>42</v>
      </c>
      <c r="E17" s="41"/>
      <c r="F17" s="46" t="s">
        <v>17</v>
      </c>
      <c r="G17" s="47">
        <v>3271.1468481903503</v>
      </c>
      <c r="H17" s="47">
        <v>3326.5082276869798</v>
      </c>
      <c r="I17" s="47">
        <v>3383.0998600613116</v>
      </c>
      <c r="J17" s="47">
        <v>3439.6914924356438</v>
      </c>
      <c r="K17" s="47">
        <v>3649.5208800163819</v>
      </c>
      <c r="L17" s="47"/>
    </row>
    <row r="18" spans="1:18" ht="27.75" customHeight="1">
      <c r="A18" s="42" t="s">
        <v>106</v>
      </c>
      <c r="C18" s="46"/>
      <c r="G18" s="46"/>
      <c r="H18" s="46"/>
      <c r="I18" s="46"/>
      <c r="J18" s="46"/>
      <c r="K18" s="46"/>
      <c r="L18" s="46"/>
      <c r="M18" s="46"/>
    </row>
    <row r="19" spans="1:18" ht="17.25" customHeight="1">
      <c r="B19" s="49">
        <v>0.89346680779366849</v>
      </c>
      <c r="C19" s="50" t="s">
        <v>45</v>
      </c>
      <c r="G19" s="46"/>
      <c r="H19" s="46"/>
      <c r="I19" s="46"/>
      <c r="J19" s="46"/>
      <c r="K19" s="46"/>
      <c r="L19" s="46"/>
      <c r="M19" s="46"/>
      <c r="R19" s="46"/>
    </row>
    <row r="20" spans="1:18" ht="17.25" customHeight="1">
      <c r="B20" s="49">
        <v>0.39010522593808067</v>
      </c>
      <c r="C20" s="50" t="s">
        <v>46</v>
      </c>
      <c r="G20" s="46"/>
      <c r="H20" s="46"/>
      <c r="I20" s="46"/>
      <c r="J20" s="46"/>
      <c r="K20" s="46"/>
      <c r="L20" s="46"/>
      <c r="M20" s="46"/>
      <c r="R20" s="46"/>
    </row>
    <row r="21" spans="1:18" ht="17.25" customHeight="1">
      <c r="A21" s="42" t="s">
        <v>111</v>
      </c>
      <c r="C21" s="46"/>
      <c r="G21" s="46"/>
      <c r="H21" s="46"/>
      <c r="I21" s="46"/>
      <c r="J21" s="46"/>
      <c r="K21" s="46"/>
      <c r="L21" s="46"/>
      <c r="M21" s="46"/>
    </row>
    <row r="22" spans="1:18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  <c r="M22" s="46"/>
    </row>
    <row r="23" spans="1:18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46"/>
    </row>
    <row r="24" spans="1:18">
      <c r="A24" s="50" t="s">
        <v>50</v>
      </c>
      <c r="C24" s="46"/>
      <c r="G24" s="46"/>
      <c r="H24" s="46"/>
      <c r="I24" s="46"/>
      <c r="J24" s="46"/>
      <c r="K24" s="46"/>
      <c r="L24" s="46"/>
      <c r="M24" s="46"/>
    </row>
    <row r="25" spans="1:18">
      <c r="A25" s="42" t="s">
        <v>51</v>
      </c>
      <c r="C25" s="46"/>
      <c r="G25" s="46"/>
      <c r="H25" s="46"/>
      <c r="I25" s="46"/>
      <c r="J25" s="46"/>
      <c r="K25" s="46"/>
      <c r="L25" s="46"/>
      <c r="M25" s="46"/>
    </row>
    <row r="26" spans="1:18">
      <c r="A26" s="50" t="s">
        <v>52</v>
      </c>
      <c r="B26" s="46"/>
      <c r="C26" s="46"/>
    </row>
    <row r="27" spans="1:18">
      <c r="A27" s="50"/>
      <c r="B27" s="46"/>
      <c r="C27" s="46"/>
    </row>
    <row r="28" spans="1:18" ht="27.75" customHeight="1">
      <c r="A28" s="41" t="s">
        <v>136</v>
      </c>
      <c r="B28" s="42" t="s">
        <v>139</v>
      </c>
      <c r="M28" s="66" t="s">
        <v>147</v>
      </c>
      <c r="N28" s="66" t="s">
        <v>145</v>
      </c>
    </row>
    <row r="29" spans="1:18" ht="17.25" customHeight="1">
      <c r="A29" s="49">
        <v>15.40286440478099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67">
        <f>A29/109.2</f>
        <v>0.14105187183865375</v>
      </c>
      <c r="N29" s="68">
        <f>A29/80</f>
        <v>0.19253580505976237</v>
      </c>
    </row>
    <row r="30" spans="1:18" ht="17.25" customHeight="1">
      <c r="A30" s="49">
        <v>21.845892652532516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67">
        <f t="shared" ref="M30:M47" si="0">A30/109.2</f>
        <v>0.20005396201952852</v>
      </c>
      <c r="N30" s="67">
        <f t="shared" ref="N30:N47" si="1">A30/80</f>
        <v>0.27307365815665646</v>
      </c>
      <c r="R30" s="51"/>
    </row>
    <row r="31" spans="1:18" ht="17.25" customHeight="1">
      <c r="A31" s="49">
        <v>28.28892090028404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67">
        <f t="shared" si="0"/>
        <v>0.25905605220040329</v>
      </c>
      <c r="N31" s="67">
        <f t="shared" si="1"/>
        <v>0.3536115112535505</v>
      </c>
      <c r="R31" s="51"/>
    </row>
    <row r="32" spans="1:18" ht="17.25" customHeight="1">
      <c r="A32" s="49">
        <v>34.731949148035575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67">
        <f t="shared" si="0"/>
        <v>0.31805814238127816</v>
      </c>
      <c r="N32" s="67">
        <f t="shared" si="1"/>
        <v>0.43414936435044471</v>
      </c>
      <c r="R32" s="51"/>
    </row>
    <row r="33" spans="1:18" ht="17.25" customHeight="1">
      <c r="A33" s="49">
        <v>41.174977395787089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67">
        <f t="shared" si="0"/>
        <v>0.37706023256215282</v>
      </c>
      <c r="N33" s="67">
        <f t="shared" si="1"/>
        <v>0.51468721744733859</v>
      </c>
      <c r="R33" s="51"/>
    </row>
    <row r="34" spans="1:18" ht="17.25" customHeight="1">
      <c r="A34" s="49">
        <v>124.44356707424771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67">
        <f t="shared" si="0"/>
        <v>1.1395931050755284</v>
      </c>
      <c r="N34" s="67">
        <f t="shared" si="1"/>
        <v>1.5555445884280963</v>
      </c>
      <c r="R34" s="51"/>
    </row>
    <row r="35" spans="1:18" ht="17.25" customHeight="1">
      <c r="A35" s="49">
        <v>131.44029306204041</v>
      </c>
      <c r="B35" s="52" t="s">
        <v>122</v>
      </c>
      <c r="M35" s="67">
        <f t="shared" si="0"/>
        <v>1.2036656873813225</v>
      </c>
      <c r="N35" s="67">
        <f t="shared" si="1"/>
        <v>1.6430036632755052</v>
      </c>
      <c r="R35" s="51"/>
    </row>
    <row r="36" spans="1:18" ht="17.25" customHeight="1">
      <c r="A36" s="49">
        <v>138.42443501028669</v>
      </c>
      <c r="B36" s="52" t="s">
        <v>123</v>
      </c>
      <c r="M36" s="67">
        <f t="shared" si="0"/>
        <v>1.2676230312297316</v>
      </c>
      <c r="N36" s="67">
        <f t="shared" si="1"/>
        <v>1.7303054376285836</v>
      </c>
      <c r="R36" s="51"/>
    </row>
    <row r="37" spans="1:18" ht="17.25" customHeight="1">
      <c r="A37" s="49">
        <v>181.05916099345498</v>
      </c>
      <c r="B37" s="52" t="s">
        <v>124</v>
      </c>
      <c r="M37" s="67">
        <f t="shared" si="0"/>
        <v>1.6580509248484887</v>
      </c>
      <c r="N37" s="67">
        <f t="shared" si="1"/>
        <v>2.2632395124181874</v>
      </c>
      <c r="R37" s="51"/>
    </row>
    <row r="38" spans="1:18" ht="17.25" customHeight="1">
      <c r="A38" s="49">
        <v>188.04330294170128</v>
      </c>
      <c r="B38" s="52" t="s">
        <v>125</v>
      </c>
      <c r="M38" s="67">
        <f t="shared" si="0"/>
        <v>1.7220082686968983</v>
      </c>
      <c r="N38" s="67">
        <f t="shared" si="1"/>
        <v>2.3505412867712661</v>
      </c>
      <c r="R38" s="51"/>
    </row>
    <row r="39" spans="1:18" ht="17.25" customHeight="1">
      <c r="A39" s="49">
        <v>195.04002892949396</v>
      </c>
      <c r="B39" s="52" t="s">
        <v>126</v>
      </c>
      <c r="M39" s="67">
        <f t="shared" si="0"/>
        <v>1.7860808510026918</v>
      </c>
      <c r="N39" s="67">
        <f t="shared" si="1"/>
        <v>2.4380003616186743</v>
      </c>
      <c r="R39" s="51"/>
    </row>
    <row r="40" spans="1:18" ht="17.25" customHeight="1">
      <c r="A40" s="49">
        <v>202.03675491728663</v>
      </c>
      <c r="B40" s="52" t="s">
        <v>127</v>
      </c>
      <c r="M40" s="67">
        <f t="shared" si="0"/>
        <v>1.8501534333084855</v>
      </c>
      <c r="N40" s="67">
        <f t="shared" si="1"/>
        <v>2.525459436466083</v>
      </c>
      <c r="R40" s="51"/>
    </row>
    <row r="41" spans="1:18" ht="17.25" customHeight="1">
      <c r="A41" s="49">
        <v>221.86920124239674</v>
      </c>
      <c r="B41" s="52" t="s">
        <v>128</v>
      </c>
      <c r="M41" s="67">
        <f t="shared" si="0"/>
        <v>2.0317692421464901</v>
      </c>
      <c r="N41" s="67">
        <f t="shared" si="1"/>
        <v>2.7733650155299592</v>
      </c>
      <c r="R41" s="51"/>
    </row>
    <row r="42" spans="1:18" ht="17.25" customHeight="1">
      <c r="A42" s="49">
        <v>278.74905999207817</v>
      </c>
      <c r="B42" s="52" t="s">
        <v>129</v>
      </c>
      <c r="M42" s="67">
        <f t="shared" si="0"/>
        <v>2.5526470695245251</v>
      </c>
      <c r="N42" s="67">
        <f t="shared" si="1"/>
        <v>3.4843632499009773</v>
      </c>
      <c r="R42" s="51"/>
    </row>
    <row r="43" spans="1:18" ht="17.25" customHeight="1">
      <c r="A43" s="49">
        <v>285.74578597987085</v>
      </c>
      <c r="B43" s="52" t="s">
        <v>130</v>
      </c>
      <c r="M43" s="67">
        <f t="shared" si="0"/>
        <v>2.6167196518303188</v>
      </c>
      <c r="N43" s="67">
        <f t="shared" si="1"/>
        <v>3.5718223247483856</v>
      </c>
      <c r="R43" s="51"/>
    </row>
    <row r="44" spans="1:18" ht="17.25" customHeight="1">
      <c r="A44" s="49">
        <v>292.74251196766352</v>
      </c>
      <c r="B44" s="52" t="s">
        <v>131</v>
      </c>
      <c r="M44" s="67">
        <f t="shared" si="0"/>
        <v>2.6807922341361126</v>
      </c>
      <c r="N44" s="67">
        <f t="shared" si="1"/>
        <v>3.6592813995957938</v>
      </c>
      <c r="R44" s="51"/>
    </row>
    <row r="45" spans="1:18" ht="17.25" customHeight="1">
      <c r="A45" s="49">
        <v>299.73923795545619</v>
      </c>
      <c r="B45" s="52" t="s">
        <v>132</v>
      </c>
      <c r="M45" s="67">
        <f t="shared" si="0"/>
        <v>2.7448648164419063</v>
      </c>
      <c r="N45" s="67">
        <f t="shared" si="1"/>
        <v>3.7467404744432025</v>
      </c>
      <c r="R45" s="51"/>
    </row>
    <row r="46" spans="1:18" ht="17.25" customHeight="1">
      <c r="A46" s="49">
        <v>306.73596394324898</v>
      </c>
      <c r="B46" s="52" t="s">
        <v>133</v>
      </c>
      <c r="M46" s="67">
        <f t="shared" si="0"/>
        <v>2.8089373987477013</v>
      </c>
      <c r="N46" s="67">
        <f t="shared" si="1"/>
        <v>3.834199549290612</v>
      </c>
      <c r="R46" s="51"/>
    </row>
    <row r="47" spans="1:18" ht="17.25" customHeight="1">
      <c r="A47" s="49">
        <v>335.10038908081134</v>
      </c>
      <c r="B47" s="52" t="s">
        <v>134</v>
      </c>
      <c r="M47" s="67">
        <f t="shared" si="0"/>
        <v>3.0686848816924113</v>
      </c>
      <c r="N47" s="67">
        <f t="shared" si="1"/>
        <v>4.1887548635101419</v>
      </c>
      <c r="R47" s="51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45"/>
      <c r="N57" s="45"/>
      <c r="O57" s="45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41"/>
      <c r="N70" s="41"/>
      <c r="O70" s="41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41"/>
      <c r="N71" s="41"/>
      <c r="O71" s="41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41"/>
      <c r="N72" s="41"/>
      <c r="O72" s="41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41"/>
      <c r="N73" s="41"/>
      <c r="O73" s="41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41"/>
      <c r="N74" s="41"/>
      <c r="O74" s="41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41"/>
      <c r="N75" s="41"/>
      <c r="O75" s="41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41"/>
      <c r="N76" s="41"/>
      <c r="O76" s="41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41"/>
      <c r="N77" s="41"/>
      <c r="O77" s="41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41"/>
      <c r="N78" s="41"/>
      <c r="O78" s="41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41"/>
      <c r="N79" s="41"/>
      <c r="O79" s="41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</row>
    <row r="84" spans="1:14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51"/>
    </row>
    <row r="85" spans="1:14">
      <c r="A85" s="51"/>
      <c r="B85" s="52"/>
      <c r="N85" s="51"/>
    </row>
    <row r="86" spans="1:14">
      <c r="A86" s="51"/>
      <c r="B86" s="52"/>
      <c r="N86" s="51"/>
    </row>
    <row r="87" spans="1:14">
      <c r="A87" s="51"/>
      <c r="B87" s="52"/>
      <c r="N87" s="51"/>
    </row>
    <row r="88" spans="1:14">
      <c r="A88" s="51"/>
      <c r="B88" s="52"/>
      <c r="N88" s="51"/>
    </row>
    <row r="89" spans="1:14">
      <c r="A89" s="51"/>
      <c r="B89" s="52"/>
      <c r="N89" s="51"/>
    </row>
    <row r="90" spans="1:14">
      <c r="A90" s="51"/>
      <c r="B90" s="52"/>
      <c r="N90" s="51"/>
    </row>
    <row r="91" spans="1:14">
      <c r="A91" s="51"/>
      <c r="B91" s="52"/>
      <c r="N91" s="51"/>
    </row>
    <row r="92" spans="1:14">
      <c r="A92" s="51"/>
      <c r="B92" s="52"/>
      <c r="N92" s="51"/>
    </row>
    <row r="93" spans="1:14">
      <c r="A93" s="51"/>
      <c r="B93" s="52"/>
      <c r="N93" s="51"/>
    </row>
    <row r="94" spans="1:14">
      <c r="A94" s="51"/>
      <c r="B94" s="52"/>
      <c r="N94" s="51"/>
    </row>
    <row r="95" spans="1:14">
      <c r="A95" s="51"/>
      <c r="B95" s="52"/>
      <c r="N95" s="51"/>
    </row>
    <row r="96" spans="1:14">
      <c r="A96" s="51"/>
      <c r="B96" s="52"/>
      <c r="N96" s="51"/>
    </row>
    <row r="97" spans="1:14">
      <c r="A97" s="51"/>
      <c r="B97" s="52"/>
      <c r="N97" s="51"/>
    </row>
    <row r="98" spans="1:14">
      <c r="B98" s="52"/>
      <c r="N98" s="51"/>
    </row>
    <row r="99" spans="1:14">
      <c r="B99" s="52"/>
      <c r="N99" s="51"/>
    </row>
    <row r="100" spans="1:14">
      <c r="B100" s="52"/>
    </row>
    <row r="101" spans="1:14">
      <c r="B101" s="52"/>
    </row>
  </sheetData>
  <sheetProtection password="E3B7" sheet="1" objects="1" scenarios="1"/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W101"/>
  <sheetViews>
    <sheetView topLeftCell="A34" workbookViewId="0">
      <selection activeCell="A46" sqref="A46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4.1328125" style="42" customWidth="1"/>
    <col min="7" max="12" width="6.59765625" style="42" customWidth="1"/>
    <col min="13" max="13" width="24.59765625" style="66" customWidth="1"/>
    <col min="14" max="14" width="15.59765625" style="66" hidden="1" customWidth="1"/>
    <col min="15" max="15" width="6.59765625" style="66" hidden="1" customWidth="1"/>
    <col min="16" max="18" width="0" style="66" hidden="1" customWidth="1"/>
    <col min="19" max="22" width="9.1328125" style="66" hidden="1" customWidth="1"/>
    <col min="23" max="23" width="9.1328125" style="42" hidden="1" customWidth="1"/>
    <col min="24" max="16384" width="9.1328125" style="42"/>
  </cols>
  <sheetData>
    <row r="1" spans="1:21" ht="18">
      <c r="A1" s="55" t="s">
        <v>140</v>
      </c>
      <c r="B1" s="41"/>
      <c r="C1" s="41"/>
      <c r="D1" s="41"/>
      <c r="E1" s="41"/>
      <c r="F1" s="41"/>
      <c r="G1" s="41"/>
      <c r="H1" s="41"/>
    </row>
    <row r="2" spans="1:21">
      <c r="A2" s="43" t="s">
        <v>142</v>
      </c>
      <c r="B2" s="44"/>
      <c r="C2" s="44"/>
      <c r="D2" s="41"/>
      <c r="E2" s="41"/>
      <c r="F2" s="41" t="s">
        <v>80</v>
      </c>
      <c r="G2" s="41"/>
      <c r="H2" s="41"/>
      <c r="I2" s="41"/>
      <c r="J2" s="41"/>
      <c r="K2" s="41"/>
      <c r="L2" s="41"/>
      <c r="M2" s="69"/>
      <c r="N2" s="69"/>
    </row>
    <row r="3" spans="1:21" ht="28.5">
      <c r="A3" s="44" t="s">
        <v>137</v>
      </c>
      <c r="B3" s="45" t="s">
        <v>114</v>
      </c>
      <c r="C3" s="45" t="s">
        <v>138</v>
      </c>
      <c r="D3" s="44" t="s">
        <v>4</v>
      </c>
      <c r="E3" s="44" t="s">
        <v>5</v>
      </c>
      <c r="F3" s="44" t="s">
        <v>6</v>
      </c>
      <c r="G3" s="45" t="s">
        <v>7</v>
      </c>
      <c r="H3" s="45" t="s">
        <v>8</v>
      </c>
      <c r="I3" s="45" t="s">
        <v>9</v>
      </c>
      <c r="J3" s="45" t="s">
        <v>10</v>
      </c>
      <c r="K3" s="45" t="s">
        <v>11</v>
      </c>
      <c r="L3" s="45" t="s">
        <v>12</v>
      </c>
      <c r="M3" s="70"/>
      <c r="N3" s="70"/>
      <c r="P3" s="70" t="s">
        <v>7</v>
      </c>
      <c r="Q3" s="70" t="s">
        <v>8</v>
      </c>
      <c r="R3" s="70" t="s">
        <v>9</v>
      </c>
      <c r="S3" s="70" t="s">
        <v>10</v>
      </c>
      <c r="T3" s="70" t="s">
        <v>11</v>
      </c>
      <c r="U3" s="70" t="s">
        <v>12</v>
      </c>
    </row>
    <row r="4" spans="1:21" ht="18.75" customHeight="1">
      <c r="A4" s="63" t="s">
        <v>157</v>
      </c>
      <c r="B4" s="46" t="s">
        <v>115</v>
      </c>
      <c r="C4" s="44" t="s">
        <v>156</v>
      </c>
      <c r="D4" s="42" t="s">
        <v>84</v>
      </c>
      <c r="E4" s="44"/>
      <c r="F4" s="44" t="s">
        <v>17</v>
      </c>
      <c r="G4" s="47">
        <v>1624.0532591356168</v>
      </c>
      <c r="H4" s="45"/>
      <c r="I4" s="45"/>
      <c r="J4" s="45"/>
      <c r="K4" s="45"/>
      <c r="L4" s="45"/>
      <c r="M4" s="70" t="s">
        <v>143</v>
      </c>
      <c r="N4" s="70" t="s">
        <v>145</v>
      </c>
      <c r="O4" s="66">
        <v>5</v>
      </c>
      <c r="P4" s="71">
        <f>G4/80</f>
        <v>20.30066573919521</v>
      </c>
      <c r="Q4" s="71"/>
      <c r="R4" s="71"/>
      <c r="S4" s="71"/>
      <c r="T4" s="71"/>
      <c r="U4" s="71"/>
    </row>
    <row r="5" spans="1:21" ht="18.75" customHeight="1">
      <c r="A5" s="46" t="s">
        <v>15</v>
      </c>
      <c r="B5" s="46" t="s">
        <v>115</v>
      </c>
      <c r="C5" s="44" t="s">
        <v>148</v>
      </c>
      <c r="D5" s="42" t="s">
        <v>16</v>
      </c>
      <c r="E5" s="42">
        <v>353</v>
      </c>
      <c r="F5" s="46" t="s">
        <v>17</v>
      </c>
      <c r="G5" s="47">
        <v>2320.0760844794527</v>
      </c>
      <c r="H5" s="47">
        <v>2412.8791278586305</v>
      </c>
      <c r="I5" s="47">
        <v>2509.394292972976</v>
      </c>
      <c r="J5" s="47">
        <v>2609.7700646918952</v>
      </c>
      <c r="K5" s="47">
        <v>2714.160867279571</v>
      </c>
      <c r="L5" s="47">
        <v>2822.7273019707541</v>
      </c>
      <c r="M5" s="77" t="s">
        <v>144</v>
      </c>
      <c r="N5" s="66" t="s">
        <v>146</v>
      </c>
      <c r="P5" s="71">
        <f>G5/109.2</f>
        <v>21.246117989738575</v>
      </c>
      <c r="Q5" s="71">
        <f t="shared" ref="Q5:U5" si="0">H5/109.2</f>
        <v>22.095962709328116</v>
      </c>
      <c r="R5" s="71">
        <f t="shared" si="0"/>
        <v>22.979801217701244</v>
      </c>
      <c r="S5" s="71">
        <f t="shared" si="0"/>
        <v>23.898993266409295</v>
      </c>
      <c r="T5" s="71">
        <f t="shared" si="0"/>
        <v>24.854952997065666</v>
      </c>
      <c r="U5" s="71">
        <f t="shared" si="0"/>
        <v>25.849151116948295</v>
      </c>
    </row>
    <row r="6" spans="1:21" ht="18.75" customHeight="1">
      <c r="A6" s="46" t="s">
        <v>19</v>
      </c>
      <c r="B6" s="46" t="s">
        <v>115</v>
      </c>
      <c r="C6" s="44" t="s">
        <v>149</v>
      </c>
      <c r="D6" s="42" t="s">
        <v>20</v>
      </c>
      <c r="E6" s="42">
        <v>353</v>
      </c>
      <c r="F6" s="46" t="s">
        <v>17</v>
      </c>
      <c r="G6" s="47">
        <v>2320.0760844794527</v>
      </c>
      <c r="H6" s="47">
        <v>2412.8791278586305</v>
      </c>
      <c r="I6" s="47">
        <v>2509.394292972976</v>
      </c>
      <c r="J6" s="47">
        <v>2609.7700646918952</v>
      </c>
      <c r="K6" s="47">
        <v>2714.160867279571</v>
      </c>
      <c r="L6" s="47">
        <v>2822.7273019707541</v>
      </c>
      <c r="M6" s="70" t="s">
        <v>143</v>
      </c>
      <c r="N6" s="66" t="s">
        <v>145</v>
      </c>
      <c r="P6" s="71">
        <f t="shared" ref="P6:U6" si="1">G6/80</f>
        <v>29.000951055993159</v>
      </c>
      <c r="Q6" s="71">
        <f t="shared" si="1"/>
        <v>30.160989098232882</v>
      </c>
      <c r="R6" s="71">
        <f t="shared" si="1"/>
        <v>31.367428662162201</v>
      </c>
      <c r="S6" s="71">
        <f t="shared" si="1"/>
        <v>32.62212580864869</v>
      </c>
      <c r="T6" s="71">
        <f t="shared" si="1"/>
        <v>33.92701084099464</v>
      </c>
      <c r="U6" s="71">
        <f t="shared" si="1"/>
        <v>35.284091274634427</v>
      </c>
    </row>
    <row r="7" spans="1:21" ht="18.75" customHeight="1">
      <c r="A7" s="46" t="s">
        <v>21</v>
      </c>
      <c r="B7" s="46" t="s">
        <v>115</v>
      </c>
      <c r="C7" s="44" t="s">
        <v>148</v>
      </c>
      <c r="D7" s="42" t="s">
        <v>22</v>
      </c>
      <c r="F7" s="46" t="s">
        <v>17</v>
      </c>
      <c r="G7" s="47">
        <v>2320.0760844794527</v>
      </c>
      <c r="H7" s="47">
        <v>2412.8791278586305</v>
      </c>
      <c r="I7" s="47">
        <v>2509.394292972976</v>
      </c>
      <c r="J7" s="47">
        <v>2609.7700646918952</v>
      </c>
      <c r="K7" s="47">
        <v>2714.160867279571</v>
      </c>
      <c r="L7" s="47">
        <v>2822.7273019707541</v>
      </c>
      <c r="M7" s="77" t="s">
        <v>144</v>
      </c>
      <c r="N7" s="66" t="s">
        <v>146</v>
      </c>
      <c r="P7" s="71">
        <f t="shared" ref="P7:P8" si="2">G7/109.2</f>
        <v>21.246117989738575</v>
      </c>
      <c r="Q7" s="71">
        <f t="shared" ref="Q7:Q8" si="3">H7/109.2</f>
        <v>22.095962709328116</v>
      </c>
      <c r="R7" s="71">
        <f t="shared" ref="R7:R8" si="4">I7/109.2</f>
        <v>22.979801217701244</v>
      </c>
      <c r="S7" s="71">
        <f t="shared" ref="S7:S8" si="5">J7/109.2</f>
        <v>23.898993266409295</v>
      </c>
      <c r="T7" s="71">
        <f t="shared" ref="T7:T8" si="6">K7/109.2</f>
        <v>24.854952997065666</v>
      </c>
      <c r="U7" s="71">
        <f t="shared" ref="U7" si="7">L7/109.2</f>
        <v>25.849151116948295</v>
      </c>
    </row>
    <row r="8" spans="1:21" ht="18.75" customHeight="1">
      <c r="A8" s="46" t="s">
        <v>23</v>
      </c>
      <c r="B8" s="46" t="s">
        <v>115</v>
      </c>
      <c r="C8" s="44" t="s">
        <v>150</v>
      </c>
      <c r="D8" s="42" t="s">
        <v>24</v>
      </c>
      <c r="F8" s="46" t="s">
        <v>17</v>
      </c>
      <c r="G8" s="47">
        <v>2876.0369229148669</v>
      </c>
      <c r="H8" s="47">
        <v>2988.9741370879906</v>
      </c>
      <c r="I8" s="47">
        <v>3170.575323112058</v>
      </c>
      <c r="J8" s="47"/>
      <c r="K8" s="47"/>
      <c r="L8" s="47"/>
      <c r="M8" s="77" t="s">
        <v>144</v>
      </c>
      <c r="N8" s="66" t="s">
        <v>146</v>
      </c>
      <c r="P8" s="71">
        <f t="shared" si="2"/>
        <v>26.337334458927351</v>
      </c>
      <c r="Q8" s="71">
        <f t="shared" si="3"/>
        <v>27.371558031941305</v>
      </c>
      <c r="R8" s="71">
        <f t="shared" si="4"/>
        <v>29.034572555971227</v>
      </c>
      <c r="S8" s="71">
        <f t="shared" si="5"/>
        <v>0</v>
      </c>
      <c r="T8" s="71">
        <f t="shared" si="6"/>
        <v>0</v>
      </c>
      <c r="U8" s="71"/>
    </row>
    <row r="9" spans="1:21" ht="18.75" customHeight="1">
      <c r="A9" s="46" t="s">
        <v>77</v>
      </c>
      <c r="B9" s="46" t="s">
        <v>115</v>
      </c>
      <c r="C9" s="44" t="s">
        <v>151</v>
      </c>
      <c r="D9" s="42" t="s">
        <v>26</v>
      </c>
      <c r="F9" s="46" t="s">
        <v>17</v>
      </c>
      <c r="G9" s="47">
        <v>2876.0369229148669</v>
      </c>
      <c r="H9" s="47">
        <v>2988.9741370879906</v>
      </c>
      <c r="I9" s="47">
        <v>3170.575323112058</v>
      </c>
      <c r="J9" s="47"/>
      <c r="K9" s="47"/>
      <c r="L9" s="47"/>
      <c r="M9" s="70" t="s">
        <v>143</v>
      </c>
      <c r="N9" s="70" t="s">
        <v>145</v>
      </c>
      <c r="P9" s="71">
        <f t="shared" ref="P9:R9" si="8">G9/80</f>
        <v>35.950461536435839</v>
      </c>
      <c r="Q9" s="71">
        <f t="shared" si="8"/>
        <v>37.362176713599879</v>
      </c>
      <c r="R9" s="71">
        <f t="shared" si="8"/>
        <v>39.632191538900727</v>
      </c>
      <c r="S9" s="71"/>
      <c r="T9" s="71"/>
      <c r="U9" s="71"/>
    </row>
    <row r="10" spans="1:21" ht="18.75" customHeight="1">
      <c r="A10" s="46" t="s">
        <v>27</v>
      </c>
      <c r="B10" s="46" t="s">
        <v>115</v>
      </c>
      <c r="C10" s="44" t="s">
        <v>150</v>
      </c>
      <c r="D10" s="42" t="s">
        <v>28</v>
      </c>
      <c r="F10" s="46" t="s">
        <v>17</v>
      </c>
      <c r="G10" s="47">
        <v>2876.0369229148669</v>
      </c>
      <c r="H10" s="47">
        <v>2988.9741370879906</v>
      </c>
      <c r="I10" s="47">
        <v>3170.575323112058</v>
      </c>
      <c r="J10" s="47"/>
      <c r="K10" s="47"/>
      <c r="L10" s="47"/>
      <c r="M10" s="77" t="s">
        <v>144</v>
      </c>
      <c r="N10" s="66" t="s">
        <v>146</v>
      </c>
      <c r="P10" s="71">
        <f t="shared" ref="P10:P11" si="9">G10/109.2</f>
        <v>26.337334458927351</v>
      </c>
      <c r="Q10" s="71">
        <f t="shared" ref="Q10:Q11" si="10">H10/109.2</f>
        <v>27.371558031941305</v>
      </c>
      <c r="R10" s="71">
        <f t="shared" ref="R10:R11" si="11">I10/109.2</f>
        <v>29.034572555971227</v>
      </c>
      <c r="S10" s="71"/>
      <c r="T10" s="71"/>
      <c r="U10" s="71"/>
    </row>
    <row r="11" spans="1:21" ht="18.75" customHeight="1">
      <c r="A11" s="46" t="s">
        <v>29</v>
      </c>
      <c r="B11" s="46" t="s">
        <v>115</v>
      </c>
      <c r="C11" s="44" t="s">
        <v>152</v>
      </c>
      <c r="D11" s="42" t="s">
        <v>30</v>
      </c>
      <c r="F11" s="46" t="s">
        <v>17</v>
      </c>
      <c r="G11" s="47">
        <v>3260.0234511034855</v>
      </c>
      <c r="H11" s="47">
        <v>3389.2738184349487</v>
      </c>
      <c r="I11" s="47">
        <v>3596.7212383109982</v>
      </c>
      <c r="J11" s="47"/>
      <c r="K11" s="47"/>
      <c r="L11" s="47"/>
      <c r="M11" s="77" t="s">
        <v>144</v>
      </c>
      <c r="N11" s="66" t="s">
        <v>146</v>
      </c>
      <c r="P11" s="71">
        <f t="shared" si="9"/>
        <v>29.853694607174774</v>
      </c>
      <c r="Q11" s="71">
        <f t="shared" si="10"/>
        <v>31.037306029624073</v>
      </c>
      <c r="R11" s="71">
        <f t="shared" si="11"/>
        <v>32.937007676840643</v>
      </c>
      <c r="S11" s="71"/>
      <c r="T11" s="71"/>
      <c r="U11" s="71"/>
    </row>
    <row r="12" spans="1:21" ht="18.75" customHeight="1">
      <c r="A12" s="46" t="s">
        <v>31</v>
      </c>
      <c r="B12" s="46" t="s">
        <v>115</v>
      </c>
      <c r="C12" s="44" t="s">
        <v>153</v>
      </c>
      <c r="D12" s="42" t="s">
        <v>32</v>
      </c>
      <c r="F12" s="46" t="s">
        <v>17</v>
      </c>
      <c r="G12" s="47">
        <v>3260.0234511034855</v>
      </c>
      <c r="H12" s="47">
        <v>3389.2738184349487</v>
      </c>
      <c r="I12" s="47">
        <v>3596.7212383109982</v>
      </c>
      <c r="J12" s="47"/>
      <c r="K12" s="47"/>
      <c r="L12" s="47"/>
      <c r="M12" s="70" t="s">
        <v>143</v>
      </c>
      <c r="N12" s="70" t="s">
        <v>145</v>
      </c>
      <c r="P12" s="71">
        <f t="shared" ref="P12:R12" si="12">G12/80</f>
        <v>40.750293138793566</v>
      </c>
      <c r="Q12" s="71">
        <f t="shared" si="12"/>
        <v>42.365922730436857</v>
      </c>
      <c r="R12" s="71">
        <f t="shared" si="12"/>
        <v>44.95901547888748</v>
      </c>
      <c r="S12" s="71"/>
      <c r="T12" s="71"/>
      <c r="U12" s="71"/>
    </row>
    <row r="13" spans="1:21" ht="18.75" customHeight="1">
      <c r="A13" s="46" t="s">
        <v>33</v>
      </c>
      <c r="B13" s="46" t="s">
        <v>115</v>
      </c>
      <c r="C13" s="44" t="s">
        <v>152</v>
      </c>
      <c r="D13" s="42" t="s">
        <v>34</v>
      </c>
      <c r="F13" s="46" t="s">
        <v>17</v>
      </c>
      <c r="G13" s="47">
        <v>3260.0234511034855</v>
      </c>
      <c r="H13" s="47">
        <v>3389.2738184349487</v>
      </c>
      <c r="I13" s="47">
        <v>3596.7212383109982</v>
      </c>
      <c r="J13" s="47"/>
      <c r="K13" s="47"/>
      <c r="L13" s="47"/>
      <c r="M13" s="77" t="s">
        <v>144</v>
      </c>
      <c r="N13" s="66" t="s">
        <v>146</v>
      </c>
      <c r="P13" s="71">
        <f t="shared" ref="P13:P14" si="13">G13/109.2</f>
        <v>29.853694607174774</v>
      </c>
      <c r="Q13" s="71">
        <f t="shared" ref="Q13:Q14" si="14">H13/109.2</f>
        <v>31.037306029624073</v>
      </c>
      <c r="R13" s="71">
        <f t="shared" ref="R13:R14" si="15">I13/109.2</f>
        <v>32.937007676840643</v>
      </c>
      <c r="S13" s="71"/>
      <c r="T13" s="71"/>
      <c r="U13" s="71"/>
    </row>
    <row r="14" spans="1:21" ht="18.75" customHeight="1">
      <c r="A14" s="46" t="s">
        <v>35</v>
      </c>
      <c r="B14" s="46" t="s">
        <v>115</v>
      </c>
      <c r="C14" s="44" t="s">
        <v>153</v>
      </c>
      <c r="D14" s="42" t="s">
        <v>36</v>
      </c>
      <c r="F14" s="46" t="s">
        <v>17</v>
      </c>
      <c r="G14" s="47">
        <v>3260.0234511034855</v>
      </c>
      <c r="H14" s="47">
        <v>3389.2738184349487</v>
      </c>
      <c r="I14" s="47">
        <v>3596.7212383109982</v>
      </c>
      <c r="J14" s="47"/>
      <c r="K14" s="47"/>
      <c r="L14" s="47"/>
      <c r="M14" s="70" t="s">
        <v>143</v>
      </c>
      <c r="N14" s="70" t="s">
        <v>145</v>
      </c>
      <c r="P14" s="71">
        <f t="shared" si="13"/>
        <v>29.853694607174774</v>
      </c>
      <c r="Q14" s="71">
        <f t="shared" si="14"/>
        <v>31.037306029624073</v>
      </c>
      <c r="R14" s="71">
        <f t="shared" si="15"/>
        <v>32.937007676840643</v>
      </c>
      <c r="S14" s="71"/>
      <c r="T14" s="71"/>
      <c r="U14" s="71"/>
    </row>
    <row r="15" spans="1:21" ht="18.75" customHeight="1">
      <c r="A15" s="46" t="s">
        <v>37</v>
      </c>
      <c r="B15" s="46" t="s">
        <v>115</v>
      </c>
      <c r="C15" s="44" t="s">
        <v>152</v>
      </c>
      <c r="D15" s="42" t="s">
        <v>38</v>
      </c>
      <c r="F15" s="46" t="s">
        <v>17</v>
      </c>
      <c r="G15" s="47">
        <v>3260.0234511034855</v>
      </c>
      <c r="H15" s="47">
        <v>3389.2738184349487</v>
      </c>
      <c r="I15" s="47">
        <v>3596.7212383109982</v>
      </c>
      <c r="J15" s="47"/>
      <c r="K15" s="47"/>
      <c r="L15" s="47"/>
      <c r="M15" s="77" t="s">
        <v>144</v>
      </c>
      <c r="N15" s="66" t="s">
        <v>146</v>
      </c>
      <c r="P15" s="71">
        <f t="shared" ref="P15" si="16">G15/80</f>
        <v>40.750293138793566</v>
      </c>
      <c r="Q15" s="71">
        <f t="shared" ref="Q15:Q17" si="17">H15/80</f>
        <v>42.365922730436857</v>
      </c>
      <c r="R15" s="71">
        <f t="shared" ref="R15:R17" si="18">I15/80</f>
        <v>44.95901547888748</v>
      </c>
      <c r="S15" s="71">
        <f t="shared" ref="S15" si="19">J15/80</f>
        <v>0</v>
      </c>
      <c r="T15" s="71">
        <f t="shared" ref="T15" si="20">K15/80</f>
        <v>0</v>
      </c>
      <c r="U15" s="71"/>
    </row>
    <row r="16" spans="1:21" ht="18.75" customHeight="1">
      <c r="A16" s="46" t="s">
        <v>41</v>
      </c>
      <c r="B16" s="46" t="s">
        <v>115</v>
      </c>
      <c r="C16" s="44" t="s">
        <v>154</v>
      </c>
      <c r="D16" s="48" t="s">
        <v>113</v>
      </c>
      <c r="F16" s="46" t="s">
        <v>17</v>
      </c>
      <c r="G16" s="47">
        <v>3336.5697851541572</v>
      </c>
      <c r="H16" s="47">
        <v>3393.0383922407195</v>
      </c>
      <c r="I16" s="47">
        <v>3450.7618572625379</v>
      </c>
      <c r="J16" s="47">
        <v>3508.4853222843567</v>
      </c>
      <c r="K16" s="47">
        <v>3722.5112976167097</v>
      </c>
      <c r="L16" s="47"/>
      <c r="M16" s="77" t="s">
        <v>144</v>
      </c>
      <c r="N16" s="66" t="s">
        <v>146</v>
      </c>
      <c r="P16" s="71">
        <f>G16/109.2</f>
        <v>30.554668362217555</v>
      </c>
      <c r="Q16" s="71">
        <f t="shared" ref="Q16:T16" si="21">H16/109.2</f>
        <v>31.071780148724535</v>
      </c>
      <c r="R16" s="71">
        <f t="shared" si="21"/>
        <v>31.600383308264998</v>
      </c>
      <c r="S16" s="71">
        <f t="shared" si="21"/>
        <v>32.128986467805461</v>
      </c>
      <c r="T16" s="71">
        <f t="shared" si="21"/>
        <v>34.088931296856316</v>
      </c>
      <c r="U16" s="71"/>
    </row>
    <row r="17" spans="1:21" ht="18.75" customHeight="1">
      <c r="A17" s="46" t="s">
        <v>39</v>
      </c>
      <c r="B17" s="46" t="s">
        <v>115</v>
      </c>
      <c r="C17" s="44" t="s">
        <v>155</v>
      </c>
      <c r="D17" s="42" t="s">
        <v>42</v>
      </c>
      <c r="E17" s="41"/>
      <c r="F17" s="46" t="s">
        <v>17</v>
      </c>
      <c r="G17" s="47">
        <v>3336.5697851541572</v>
      </c>
      <c r="H17" s="47">
        <v>3393.0383922407195</v>
      </c>
      <c r="I17" s="47">
        <v>3450.7618572625379</v>
      </c>
      <c r="J17" s="47">
        <v>3508.4853222843567</v>
      </c>
      <c r="K17" s="47">
        <v>3722.5112976167097</v>
      </c>
      <c r="L17" s="47"/>
      <c r="M17" s="70" t="s">
        <v>143</v>
      </c>
      <c r="N17" s="70" t="s">
        <v>145</v>
      </c>
      <c r="P17" s="71">
        <f>G17/80</f>
        <v>41.707122314426968</v>
      </c>
      <c r="Q17" s="71">
        <f t="shared" si="17"/>
        <v>42.412979903008996</v>
      </c>
      <c r="R17" s="71">
        <f t="shared" si="18"/>
        <v>43.134523215781726</v>
      </c>
      <c r="S17" s="71"/>
      <c r="T17" s="71"/>
      <c r="U17" s="71"/>
    </row>
    <row r="18" spans="1:21" ht="27.75" customHeight="1">
      <c r="A18" s="42" t="s">
        <v>141</v>
      </c>
      <c r="C18" s="46"/>
      <c r="G18" s="46"/>
      <c r="H18" s="46"/>
      <c r="I18" s="46"/>
      <c r="J18" s="46"/>
      <c r="K18" s="46"/>
      <c r="L18" s="46"/>
      <c r="M18" s="72"/>
    </row>
    <row r="19" spans="1:21">
      <c r="B19" s="49">
        <v>0.91133614394954188</v>
      </c>
      <c r="C19" s="50" t="s">
        <v>45</v>
      </c>
      <c r="G19" s="46"/>
      <c r="H19" s="46"/>
      <c r="I19" s="46"/>
      <c r="J19" s="46"/>
      <c r="K19" s="46"/>
      <c r="L19" s="46"/>
      <c r="M19" s="72"/>
      <c r="R19" s="72"/>
    </row>
    <row r="20" spans="1:21">
      <c r="B20" s="49">
        <v>0.39790733045684229</v>
      </c>
      <c r="C20" s="50" t="s">
        <v>46</v>
      </c>
      <c r="G20" s="46"/>
      <c r="H20" s="46"/>
      <c r="I20" s="46"/>
      <c r="J20" s="46"/>
      <c r="K20" s="46"/>
      <c r="L20" s="46"/>
      <c r="M20" s="72"/>
      <c r="R20" s="72"/>
    </row>
    <row r="21" spans="1:21" ht="17.25" customHeight="1">
      <c r="A21" s="42" t="s">
        <v>111</v>
      </c>
      <c r="C21" s="46"/>
      <c r="G21" s="46"/>
      <c r="H21" s="46"/>
      <c r="I21" s="46"/>
      <c r="J21" s="46"/>
      <c r="K21" s="46"/>
      <c r="L21" s="46"/>
      <c r="M21" s="72"/>
    </row>
    <row r="22" spans="1:21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  <c r="M22" s="72"/>
    </row>
    <row r="23" spans="1:21" ht="27.75" customHeight="1">
      <c r="A23" s="41" t="s">
        <v>107</v>
      </c>
      <c r="C23" s="46"/>
      <c r="G23" s="46"/>
      <c r="H23" s="46"/>
      <c r="I23" s="46"/>
      <c r="J23" s="46"/>
      <c r="K23" s="46"/>
      <c r="L23" s="46"/>
      <c r="M23" s="72"/>
    </row>
    <row r="24" spans="1:21" ht="17.25" customHeight="1">
      <c r="A24" s="50" t="s">
        <v>50</v>
      </c>
      <c r="C24" s="46"/>
      <c r="G24" s="46"/>
      <c r="H24" s="46"/>
      <c r="I24" s="46"/>
      <c r="J24" s="46"/>
      <c r="K24" s="46"/>
      <c r="L24" s="46"/>
      <c r="M24" s="72"/>
    </row>
    <row r="25" spans="1:21" ht="17.25" customHeight="1">
      <c r="A25" s="42" t="s">
        <v>51</v>
      </c>
      <c r="C25" s="46"/>
      <c r="G25" s="46"/>
      <c r="H25" s="46"/>
      <c r="I25" s="46"/>
      <c r="J25" s="46"/>
      <c r="K25" s="46"/>
      <c r="L25" s="46"/>
      <c r="M25" s="72"/>
    </row>
    <row r="26" spans="1:21" ht="17.25" customHeight="1">
      <c r="A26" s="50" t="s">
        <v>52</v>
      </c>
      <c r="B26" s="46"/>
      <c r="C26" s="46"/>
    </row>
    <row r="27" spans="1:21">
      <c r="A27" s="50"/>
      <c r="B27" s="46"/>
      <c r="C27" s="46"/>
    </row>
    <row r="28" spans="1:21" ht="27.75" customHeight="1">
      <c r="A28" s="41" t="s">
        <v>136</v>
      </c>
      <c r="B28" s="42" t="s">
        <v>139</v>
      </c>
    </row>
    <row r="29" spans="1:21" ht="17.25" customHeight="1">
      <c r="A29" s="49">
        <v>15.71092169287661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73">
        <f>A29/109.2</f>
        <v>0.14387290927542684</v>
      </c>
      <c r="N29" s="74">
        <f>A29/80</f>
        <v>0.19638652116095762</v>
      </c>
    </row>
    <row r="30" spans="1:21" ht="17.25" customHeight="1">
      <c r="A30" s="49">
        <v>22.282810505583168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73">
        <f t="shared" ref="M30:M47" si="22">A30/109.2</f>
        <v>0.20405504125991911</v>
      </c>
      <c r="N30" s="74">
        <f t="shared" ref="N30:N47" si="23">A30/80</f>
        <v>0.27853513131978958</v>
      </c>
      <c r="R30" s="75"/>
    </row>
    <row r="31" spans="1:21" ht="17.25" customHeight="1">
      <c r="A31" s="49">
        <v>28.854699318289722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76">
        <f t="shared" si="22"/>
        <v>0.26423717324441137</v>
      </c>
      <c r="N31" s="74">
        <f t="shared" si="23"/>
        <v>0.36068374147862153</v>
      </c>
      <c r="R31" s="75"/>
    </row>
    <row r="32" spans="1:21" ht="17.25" customHeight="1">
      <c r="A32" s="49">
        <v>35.426588130996286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76">
        <f t="shared" si="22"/>
        <v>0.32441930522890372</v>
      </c>
      <c r="N32" s="74">
        <f t="shared" si="23"/>
        <v>0.4428323516374536</v>
      </c>
      <c r="R32" s="75"/>
    </row>
    <row r="33" spans="1:18" ht="17.25" customHeight="1">
      <c r="A33" s="49">
        <v>41.998476943702833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76">
        <f t="shared" si="22"/>
        <v>0.3846014372133959</v>
      </c>
      <c r="N33" s="74">
        <f t="shared" si="23"/>
        <v>0.52498096179628539</v>
      </c>
      <c r="R33" s="75"/>
    </row>
    <row r="34" spans="1:18" ht="17.25" customHeight="1">
      <c r="A34" s="49">
        <v>126.93243841573266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76">
        <f t="shared" si="22"/>
        <v>1.162384967177039</v>
      </c>
      <c r="N34" s="74">
        <f t="shared" si="23"/>
        <v>1.5866554801966584</v>
      </c>
      <c r="R34" s="75"/>
    </row>
    <row r="35" spans="1:18" ht="17.25" customHeight="1">
      <c r="A35" s="49">
        <v>134.06909892328122</v>
      </c>
      <c r="B35" s="52" t="s">
        <v>122</v>
      </c>
      <c r="M35" s="74">
        <f t="shared" si="22"/>
        <v>1.2277390011289488</v>
      </c>
      <c r="N35" s="74">
        <f t="shared" si="23"/>
        <v>1.6758637365410152</v>
      </c>
      <c r="R35" s="75"/>
    </row>
    <row r="36" spans="1:18" ht="17.25" customHeight="1">
      <c r="A36" s="49">
        <v>141.19292371049241</v>
      </c>
      <c r="B36" s="52" t="s">
        <v>123</v>
      </c>
      <c r="M36" s="74">
        <f t="shared" si="22"/>
        <v>1.2929754918543261</v>
      </c>
      <c r="N36" s="74">
        <f t="shared" si="23"/>
        <v>1.7649115463811551</v>
      </c>
      <c r="R36" s="75"/>
    </row>
    <row r="37" spans="1:18" ht="17.25" customHeight="1">
      <c r="A37" s="49">
        <v>184.68034421332408</v>
      </c>
      <c r="B37" s="52" t="s">
        <v>124</v>
      </c>
      <c r="M37" s="74">
        <f t="shared" si="22"/>
        <v>1.6912119433454584</v>
      </c>
      <c r="N37" s="74">
        <f t="shared" si="23"/>
        <v>2.308504302666551</v>
      </c>
      <c r="R37" s="75"/>
    </row>
    <row r="38" spans="1:18" ht="17.25" customHeight="1">
      <c r="A38" s="49">
        <v>191.80416900053532</v>
      </c>
      <c r="B38" s="52" t="s">
        <v>125</v>
      </c>
      <c r="M38" s="74">
        <f t="shared" si="22"/>
        <v>1.7564484340708362</v>
      </c>
      <c r="N38" s="74">
        <f t="shared" si="23"/>
        <v>2.3975521125066916</v>
      </c>
      <c r="R38" s="75"/>
    </row>
    <row r="39" spans="1:18" ht="17.25" customHeight="1">
      <c r="A39" s="49">
        <v>198.94082950808385</v>
      </c>
      <c r="B39" s="52" t="s">
        <v>126</v>
      </c>
      <c r="M39" s="74">
        <f t="shared" si="22"/>
        <v>1.8218024680227458</v>
      </c>
      <c r="N39" s="74">
        <f t="shared" si="23"/>
        <v>2.4867603688510482</v>
      </c>
      <c r="R39" s="75"/>
    </row>
    <row r="40" spans="1:18" ht="17.25" customHeight="1">
      <c r="A40" s="49">
        <v>206.07749001563238</v>
      </c>
      <c r="B40" s="52" t="s">
        <v>127</v>
      </c>
      <c r="M40" s="74">
        <f t="shared" si="22"/>
        <v>1.8871565019746555</v>
      </c>
      <c r="N40" s="74">
        <f t="shared" si="23"/>
        <v>2.5759686251954048</v>
      </c>
      <c r="R40" s="75"/>
    </row>
    <row r="41" spans="1:18" ht="17.25" customHeight="1">
      <c r="A41" s="49">
        <v>226.30658526724469</v>
      </c>
      <c r="B41" s="52" t="s">
        <v>128</v>
      </c>
      <c r="M41" s="74">
        <f t="shared" si="22"/>
        <v>2.0724046269894201</v>
      </c>
      <c r="N41" s="74">
        <f t="shared" si="23"/>
        <v>2.8288323158405584</v>
      </c>
      <c r="R41" s="75"/>
    </row>
    <row r="42" spans="1:18" ht="17.25" customHeight="1">
      <c r="A42" s="49">
        <v>284.32404119191972</v>
      </c>
      <c r="B42" s="52" t="s">
        <v>129</v>
      </c>
      <c r="M42" s="74">
        <f t="shared" si="22"/>
        <v>2.6037000109150155</v>
      </c>
      <c r="N42" s="74">
        <f t="shared" si="23"/>
        <v>3.5540505148989965</v>
      </c>
      <c r="R42" s="75"/>
    </row>
    <row r="43" spans="1:18" ht="17.25" customHeight="1">
      <c r="A43" s="49">
        <v>291.46070169946825</v>
      </c>
      <c r="B43" s="52" t="s">
        <v>130</v>
      </c>
      <c r="M43" s="74">
        <f t="shared" si="22"/>
        <v>2.6690540448669253</v>
      </c>
      <c r="N43" s="74">
        <f t="shared" si="23"/>
        <v>3.6432587712433531</v>
      </c>
      <c r="R43" s="75"/>
    </row>
    <row r="44" spans="1:18" ht="17.25" customHeight="1">
      <c r="A44" s="49">
        <v>298.59736220701677</v>
      </c>
      <c r="B44" s="52" t="s">
        <v>131</v>
      </c>
      <c r="M44" s="74">
        <f t="shared" si="22"/>
        <v>2.7344080788188347</v>
      </c>
      <c r="N44" s="74">
        <f t="shared" si="23"/>
        <v>3.7324670275877097</v>
      </c>
      <c r="R44" s="75"/>
    </row>
    <row r="45" spans="1:18" ht="17.25" customHeight="1">
      <c r="A45" s="49">
        <v>305.7340227145653</v>
      </c>
      <c r="B45" s="52" t="s">
        <v>132</v>
      </c>
      <c r="M45" s="74">
        <f t="shared" si="22"/>
        <v>2.7997621127707446</v>
      </c>
      <c r="N45" s="74">
        <f t="shared" si="23"/>
        <v>3.8216752839320662</v>
      </c>
      <c r="R45" s="75"/>
    </row>
    <row r="46" spans="1:18" ht="17.25" customHeight="1">
      <c r="A46" s="49">
        <v>312.87068322211394</v>
      </c>
      <c r="B46" s="52" t="s">
        <v>133</v>
      </c>
      <c r="M46" s="74">
        <f t="shared" si="22"/>
        <v>2.8651161467226549</v>
      </c>
      <c r="N46" s="74">
        <f t="shared" si="23"/>
        <v>3.9108835402764242</v>
      </c>
      <c r="R46" s="75"/>
    </row>
    <row r="47" spans="1:18" ht="17.25" customHeight="1">
      <c r="A47" s="49">
        <v>341.8023968624276</v>
      </c>
      <c r="B47" s="52" t="s">
        <v>134</v>
      </c>
      <c r="M47" s="74">
        <f t="shared" si="22"/>
        <v>3.1300585793262599</v>
      </c>
      <c r="N47" s="74">
        <f t="shared" si="23"/>
        <v>4.2725299607803446</v>
      </c>
      <c r="R47" s="75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69"/>
      <c r="N55" s="69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70"/>
      <c r="N57" s="70"/>
      <c r="O57" s="70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69"/>
      <c r="N70" s="69"/>
      <c r="O70" s="69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69"/>
      <c r="N71" s="69"/>
      <c r="O71" s="69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69"/>
      <c r="N72" s="69"/>
      <c r="O72" s="69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69"/>
      <c r="N73" s="69"/>
      <c r="O73" s="69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69"/>
      <c r="N74" s="69"/>
      <c r="O74" s="69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69"/>
      <c r="N75" s="69"/>
      <c r="O75" s="69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69"/>
      <c r="N76" s="69"/>
      <c r="O76" s="69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69"/>
      <c r="N77" s="69"/>
      <c r="O77" s="69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69"/>
      <c r="N78" s="69"/>
      <c r="O78" s="69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69"/>
      <c r="N79" s="69"/>
      <c r="O79" s="69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</row>
    <row r="84" spans="1:14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75"/>
    </row>
    <row r="85" spans="1:14">
      <c r="A85" s="51"/>
      <c r="B85" s="52"/>
      <c r="N85" s="75"/>
    </row>
    <row r="86" spans="1:14">
      <c r="A86" s="51"/>
      <c r="B86" s="52"/>
      <c r="N86" s="75"/>
    </row>
    <row r="87" spans="1:14">
      <c r="A87" s="51"/>
      <c r="B87" s="52"/>
      <c r="N87" s="75"/>
    </row>
    <row r="88" spans="1:14">
      <c r="A88" s="51"/>
      <c r="B88" s="52"/>
      <c r="N88" s="75"/>
    </row>
    <row r="89" spans="1:14">
      <c r="A89" s="51"/>
      <c r="B89" s="52"/>
      <c r="N89" s="75"/>
    </row>
    <row r="90" spans="1:14">
      <c r="A90" s="51"/>
      <c r="B90" s="52"/>
      <c r="N90" s="75"/>
    </row>
    <row r="91" spans="1:14">
      <c r="A91" s="51"/>
      <c r="B91" s="52"/>
      <c r="N91" s="75"/>
    </row>
    <row r="92" spans="1:14">
      <c r="A92" s="51"/>
      <c r="B92" s="52"/>
      <c r="N92" s="75"/>
    </row>
    <row r="93" spans="1:14">
      <c r="A93" s="51"/>
      <c r="B93" s="52"/>
      <c r="N93" s="75"/>
    </row>
    <row r="94" spans="1:14">
      <c r="A94" s="51"/>
      <c r="B94" s="52"/>
      <c r="N94" s="75"/>
    </row>
    <row r="95" spans="1:14">
      <c r="A95" s="51"/>
      <c r="B95" s="52"/>
      <c r="N95" s="75"/>
    </row>
    <row r="96" spans="1:14">
      <c r="A96" s="51"/>
      <c r="B96" s="52"/>
      <c r="N96" s="75"/>
    </row>
    <row r="97" spans="1:14">
      <c r="A97" s="51"/>
      <c r="B97" s="52"/>
      <c r="N97" s="75"/>
    </row>
    <row r="98" spans="1:14">
      <c r="B98" s="52"/>
      <c r="N98" s="75"/>
    </row>
    <row r="99" spans="1:14">
      <c r="B99" s="52"/>
      <c r="N99" s="75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2F71-A720-464D-9238-CEC154FF1A52}">
  <sheetPr codeName="Sheet14"/>
  <dimension ref="A2:V15"/>
  <sheetViews>
    <sheetView workbookViewId="0">
      <selection activeCell="D5" sqref="D5"/>
    </sheetView>
  </sheetViews>
  <sheetFormatPr defaultRowHeight="12.75"/>
  <cols>
    <col min="1" max="1" width="10.86328125" customWidth="1"/>
    <col min="2" max="2" width="3.86328125" customWidth="1"/>
    <col min="3" max="22" width="6" bestFit="1" customWidth="1"/>
    <col min="23" max="23" width="12" bestFit="1" customWidth="1"/>
  </cols>
  <sheetData>
    <row r="2" spans="1:22">
      <c r="A2" s="99" t="s">
        <v>190</v>
      </c>
      <c r="B2">
        <v>0</v>
      </c>
      <c r="C2">
        <v>7</v>
      </c>
      <c r="D2">
        <f>C2+1</f>
        <v>8</v>
      </c>
      <c r="E2">
        <f t="shared" ref="E2:V2" si="0">D2+1</f>
        <v>9</v>
      </c>
      <c r="F2">
        <f t="shared" si="0"/>
        <v>10</v>
      </c>
      <c r="G2">
        <f t="shared" si="0"/>
        <v>11</v>
      </c>
      <c r="H2">
        <f t="shared" si="0"/>
        <v>12</v>
      </c>
      <c r="I2">
        <f t="shared" si="0"/>
        <v>13</v>
      </c>
      <c r="J2">
        <f t="shared" si="0"/>
        <v>14</v>
      </c>
      <c r="K2">
        <f t="shared" si="0"/>
        <v>15</v>
      </c>
      <c r="L2">
        <f t="shared" si="0"/>
        <v>16</v>
      </c>
      <c r="M2">
        <f t="shared" si="0"/>
        <v>17</v>
      </c>
      <c r="N2">
        <f t="shared" si="0"/>
        <v>18</v>
      </c>
      <c r="O2">
        <f t="shared" si="0"/>
        <v>19</v>
      </c>
      <c r="P2">
        <f t="shared" si="0"/>
        <v>20</v>
      </c>
      <c r="Q2">
        <f t="shared" si="0"/>
        <v>21</v>
      </c>
      <c r="R2">
        <f t="shared" si="0"/>
        <v>22</v>
      </c>
      <c r="S2">
        <f t="shared" si="0"/>
        <v>23</v>
      </c>
      <c r="T2">
        <f t="shared" si="0"/>
        <v>24</v>
      </c>
      <c r="U2">
        <f t="shared" si="0"/>
        <v>25</v>
      </c>
      <c r="V2">
        <f t="shared" si="0"/>
        <v>26</v>
      </c>
    </row>
    <row r="3" spans="1:22">
      <c r="A3" s="129" t="s">
        <v>226</v>
      </c>
      <c r="B3" s="129" t="s">
        <v>224</v>
      </c>
    </row>
    <row r="4" spans="1:22">
      <c r="A4" s="129" t="s">
        <v>225</v>
      </c>
      <c r="B4" s="127">
        <v>1</v>
      </c>
      <c r="C4" s="127">
        <v>2</v>
      </c>
      <c r="D4" s="127">
        <v>3</v>
      </c>
      <c r="E4" s="127">
        <v>4</v>
      </c>
      <c r="F4" s="127">
        <v>5</v>
      </c>
      <c r="G4" s="127">
        <v>6</v>
      </c>
      <c r="H4" s="127">
        <v>7</v>
      </c>
      <c r="I4" s="127">
        <v>8</v>
      </c>
      <c r="J4" s="127">
        <v>9</v>
      </c>
      <c r="K4" s="127">
        <v>10</v>
      </c>
      <c r="L4" s="127">
        <v>11</v>
      </c>
      <c r="M4" s="127">
        <v>12</v>
      </c>
      <c r="N4" s="127">
        <v>13</v>
      </c>
      <c r="O4" s="127">
        <v>14</v>
      </c>
      <c r="P4" s="127">
        <v>15</v>
      </c>
      <c r="Q4" s="127">
        <v>16</v>
      </c>
      <c r="R4" s="127">
        <v>17</v>
      </c>
      <c r="S4" s="127">
        <v>18</v>
      </c>
      <c r="T4" s="127">
        <v>19</v>
      </c>
      <c r="U4" s="127">
        <v>20</v>
      </c>
      <c r="V4" s="127">
        <v>21</v>
      </c>
    </row>
    <row r="5" spans="1:22">
      <c r="A5" s="130" t="s">
        <v>211</v>
      </c>
      <c r="B5">
        <v>0</v>
      </c>
      <c r="C5">
        <v>0.14899999999999999</v>
      </c>
      <c r="D5">
        <v>0.21099999999999999</v>
      </c>
      <c r="E5">
        <v>0.27300000000000002</v>
      </c>
      <c r="F5">
        <v>0.33500000000000002</v>
      </c>
      <c r="G5">
        <v>0.39700000000000002</v>
      </c>
      <c r="H5">
        <v>1.2</v>
      </c>
      <c r="I5">
        <v>1.268</v>
      </c>
      <c r="J5">
        <v>1.335</v>
      </c>
      <c r="K5">
        <v>1.746</v>
      </c>
      <c r="L5">
        <v>1.8140000000000001</v>
      </c>
      <c r="M5">
        <v>1.881</v>
      </c>
      <c r="N5">
        <v>1.9490000000000001</v>
      </c>
      <c r="O5">
        <v>2.14</v>
      </c>
      <c r="P5">
        <v>2.6890000000000001</v>
      </c>
      <c r="Q5" s="131">
        <v>2.7559999999999998</v>
      </c>
      <c r="R5" s="131">
        <v>2.8239999999999998</v>
      </c>
      <c r="S5" s="131">
        <v>2.891</v>
      </c>
      <c r="T5" s="131">
        <v>2.9590000000000001</v>
      </c>
      <c r="U5" s="131">
        <v>3.2320000000000002</v>
      </c>
      <c r="V5" s="131"/>
    </row>
    <row r="6" spans="1:22">
      <c r="A6" s="130" t="s">
        <v>220</v>
      </c>
      <c r="B6">
        <v>0</v>
      </c>
      <c r="C6">
        <v>0.14899999999999999</v>
      </c>
      <c r="D6">
        <v>0.21099999999999999</v>
      </c>
      <c r="E6">
        <v>0.27300000000000002</v>
      </c>
      <c r="F6">
        <v>0.33500000000000002</v>
      </c>
      <c r="G6">
        <v>0.39700000000000002</v>
      </c>
      <c r="H6">
        <v>1.2</v>
      </c>
      <c r="I6">
        <v>1.268</v>
      </c>
      <c r="J6">
        <v>1.335</v>
      </c>
      <c r="K6">
        <v>1.746</v>
      </c>
      <c r="L6">
        <v>1.8140000000000001</v>
      </c>
      <c r="M6">
        <v>1.881</v>
      </c>
      <c r="N6">
        <v>1.9490000000000001</v>
      </c>
      <c r="O6">
        <v>2.14</v>
      </c>
      <c r="P6">
        <v>2.6890000000000001</v>
      </c>
      <c r="Q6" s="131">
        <v>3.1669999999999998</v>
      </c>
      <c r="R6" s="131">
        <v>3.2349999999999999</v>
      </c>
      <c r="S6" s="131">
        <v>3.302</v>
      </c>
      <c r="T6" s="131">
        <v>3.37</v>
      </c>
      <c r="U6" s="131">
        <v>3.6429999999999998</v>
      </c>
      <c r="V6" s="131">
        <v>4.173</v>
      </c>
    </row>
    <row r="7" spans="1:22">
      <c r="A7" s="130" t="s">
        <v>209</v>
      </c>
      <c r="B7">
        <v>0</v>
      </c>
      <c r="C7">
        <v>0.20300000000000001</v>
      </c>
      <c r="D7">
        <v>0.28799999999999998</v>
      </c>
      <c r="E7">
        <v>0.372</v>
      </c>
      <c r="F7">
        <v>0.45700000000000002</v>
      </c>
      <c r="G7">
        <v>0.54200000000000004</v>
      </c>
      <c r="H7">
        <v>1.639</v>
      </c>
      <c r="I7">
        <v>1.7310000000000001</v>
      </c>
      <c r="J7">
        <v>1.823</v>
      </c>
      <c r="K7">
        <v>2.3839999999999999</v>
      </c>
      <c r="L7">
        <v>2.476</v>
      </c>
      <c r="M7">
        <v>2.5680000000000001</v>
      </c>
      <c r="N7">
        <v>2.66</v>
      </c>
      <c r="O7">
        <v>2.9209999999999998</v>
      </c>
      <c r="P7">
        <v>3.67</v>
      </c>
      <c r="Q7" s="132">
        <v>3.762</v>
      </c>
      <c r="R7" s="132">
        <v>3.8540000000000001</v>
      </c>
      <c r="S7" s="132">
        <v>3.9470000000000001</v>
      </c>
      <c r="T7" s="132">
        <v>4.0389999999999997</v>
      </c>
      <c r="U7" s="132">
        <v>4.4119999999999999</v>
      </c>
      <c r="V7" s="132"/>
    </row>
    <row r="8" spans="1:22">
      <c r="A8" s="130" t="s">
        <v>222</v>
      </c>
      <c r="B8">
        <v>0</v>
      </c>
      <c r="C8">
        <v>0.20300000000000001</v>
      </c>
      <c r="D8">
        <v>0.28799999999999998</v>
      </c>
      <c r="E8">
        <v>0.372</v>
      </c>
      <c r="F8">
        <v>0.45700000000000002</v>
      </c>
      <c r="G8">
        <v>0.54200000000000004</v>
      </c>
      <c r="H8">
        <v>1.639</v>
      </c>
      <c r="I8">
        <v>1.7310000000000001</v>
      </c>
      <c r="J8">
        <v>1.823</v>
      </c>
      <c r="K8">
        <v>2.3839999999999999</v>
      </c>
      <c r="L8">
        <v>2.476</v>
      </c>
      <c r="M8">
        <v>2.5680000000000001</v>
      </c>
      <c r="N8">
        <v>2.66</v>
      </c>
      <c r="O8">
        <v>2.9209999999999998</v>
      </c>
      <c r="P8">
        <v>3.67</v>
      </c>
      <c r="Q8" s="132">
        <v>4.3230000000000004</v>
      </c>
      <c r="R8" s="132">
        <v>4.4160000000000004</v>
      </c>
      <c r="S8" s="132">
        <v>4.508</v>
      </c>
      <c r="T8" s="132">
        <v>4.5999999999999996</v>
      </c>
      <c r="U8" s="132">
        <v>4.9729999999999999</v>
      </c>
      <c r="V8" s="132">
        <v>5.6970000000000001</v>
      </c>
    </row>
    <row r="10" spans="1:22">
      <c r="P10" s="133" t="s">
        <v>227</v>
      </c>
      <c r="Q10">
        <f>GETPIVOTDATA("Comp Rate",$A$3,"Rate Code","LNGCFH","Level",16)-GETPIVOTDATA("Comp Rate",$A$3,"Rate Code","LNGCFF","Level",16)</f>
        <v>0.41100000000000003</v>
      </c>
      <c r="R10">
        <f t="shared" ref="R10:V10" si="1">GETPIVOTDATA("Comp Rate",$A$3,"Rate Code","LNGCFH","Level",16)-GETPIVOTDATA("Comp Rate",$A$3,"Rate Code","LNGCFF","Level",16)</f>
        <v>0.41100000000000003</v>
      </c>
      <c r="S10">
        <f t="shared" si="1"/>
        <v>0.41100000000000003</v>
      </c>
      <c r="T10">
        <f t="shared" si="1"/>
        <v>0.41100000000000003</v>
      </c>
      <c r="U10">
        <f t="shared" si="1"/>
        <v>0.41100000000000003</v>
      </c>
      <c r="V10">
        <f t="shared" si="1"/>
        <v>0.41100000000000003</v>
      </c>
    </row>
    <row r="11" spans="1:22">
      <c r="P11" s="133" t="s">
        <v>228</v>
      </c>
      <c r="Q11">
        <f>GETPIVOTDATA("Comp Rate",$A$3,"Rate Code","LNGCFI","Level",16)-GETPIVOTDATA("Comp Rate",$A$3,"Rate Code","LNGCFG","Level",16)</f>
        <v>0.56100000000000039</v>
      </c>
      <c r="R11">
        <f t="shared" ref="R11:V11" si="2">GETPIVOTDATA("Comp Rate",$A$3,"Rate Code","LNGCFI","Level",16)-GETPIVOTDATA("Comp Rate",$A$3,"Rate Code","LNGCFG","Level",16)</f>
        <v>0.56100000000000039</v>
      </c>
      <c r="S11">
        <f t="shared" si="2"/>
        <v>0.56100000000000039</v>
      </c>
      <c r="T11">
        <f t="shared" si="2"/>
        <v>0.56100000000000039</v>
      </c>
      <c r="U11">
        <f t="shared" si="2"/>
        <v>0.56100000000000039</v>
      </c>
      <c r="V11">
        <f t="shared" si="2"/>
        <v>0.56100000000000039</v>
      </c>
    </row>
    <row r="15" spans="1:22">
      <c r="Q15">
        <f>GETPIVOTDATA("Comp Rate",$A$3,"Rate Code","LNGCFH","Level",16)-GETPIVOTDATA("Comp Rate",$A$3,"Rate Code","LNGCFF","Level",16)</f>
        <v>0.41100000000000003</v>
      </c>
    </row>
  </sheetData>
  <pageMargins left="0.17" right="0.17" top="0.75" bottom="0.75" header="0.3" footer="0.3"/>
  <pageSetup orientation="landscape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97A5-1DB6-486A-A651-074071B4B99C}">
  <sheetPr codeName="Sheet15"/>
  <dimension ref="A2:F23"/>
  <sheetViews>
    <sheetView workbookViewId="0">
      <selection activeCell="F18" sqref="F18"/>
    </sheetView>
  </sheetViews>
  <sheetFormatPr defaultRowHeight="12.75"/>
  <cols>
    <col min="1" max="5" width="9.1328125" style="134"/>
  </cols>
  <sheetData>
    <row r="2" spans="1:5">
      <c r="A2" s="134" t="s">
        <v>190</v>
      </c>
      <c r="B2" s="134" t="s">
        <v>211</v>
      </c>
      <c r="C2" s="134" t="s">
        <v>220</v>
      </c>
      <c r="D2" s="134" t="s">
        <v>209</v>
      </c>
      <c r="E2" s="134" t="s">
        <v>222</v>
      </c>
    </row>
    <row r="3" spans="1:5">
      <c r="A3" s="134">
        <v>0</v>
      </c>
      <c r="B3" s="135">
        <v>0</v>
      </c>
      <c r="C3" s="135">
        <v>0</v>
      </c>
      <c r="D3" s="135">
        <v>0</v>
      </c>
      <c r="E3" s="135">
        <v>0</v>
      </c>
    </row>
    <row r="4" spans="1:5">
      <c r="A4" s="134">
        <v>7</v>
      </c>
      <c r="B4" s="135">
        <v>0.14899999999999999</v>
      </c>
      <c r="C4" s="135">
        <v>0.14899999999999999</v>
      </c>
      <c r="D4" s="135">
        <v>0.20300000000000001</v>
      </c>
      <c r="E4" s="135">
        <v>0.20300000000000001</v>
      </c>
    </row>
    <row r="5" spans="1:5">
      <c r="A5" s="134">
        <v>8</v>
      </c>
      <c r="B5" s="135">
        <v>0.21099999999999999</v>
      </c>
      <c r="C5" s="135">
        <v>0.21099999999999999</v>
      </c>
      <c r="D5" s="135">
        <v>0.28799999999999998</v>
      </c>
      <c r="E5" s="135">
        <v>0.28799999999999998</v>
      </c>
    </row>
    <row r="6" spans="1:5">
      <c r="A6" s="134">
        <v>9</v>
      </c>
      <c r="B6" s="135">
        <v>0.27300000000000002</v>
      </c>
      <c r="C6" s="135">
        <v>0.27300000000000002</v>
      </c>
      <c r="D6" s="135">
        <v>0.372</v>
      </c>
      <c r="E6" s="135">
        <v>0.372</v>
      </c>
    </row>
    <row r="7" spans="1:5">
      <c r="A7" s="134">
        <v>10</v>
      </c>
      <c r="B7" s="135">
        <v>0.33500000000000002</v>
      </c>
      <c r="C7" s="135">
        <v>0.33500000000000002</v>
      </c>
      <c r="D7" s="135">
        <v>0.45700000000000002</v>
      </c>
      <c r="E7" s="135">
        <v>0.45700000000000002</v>
      </c>
    </row>
    <row r="8" spans="1:5">
      <c r="A8" s="134">
        <v>11</v>
      </c>
      <c r="B8" s="135">
        <v>0.39700000000000002</v>
      </c>
      <c r="C8" s="135">
        <v>0.39700000000000002</v>
      </c>
      <c r="D8" s="135">
        <v>0.54200000000000004</v>
      </c>
      <c r="E8" s="135">
        <v>0.54200000000000004</v>
      </c>
    </row>
    <row r="9" spans="1:5">
      <c r="A9" s="134">
        <v>12</v>
      </c>
      <c r="B9" s="135">
        <v>1.2</v>
      </c>
      <c r="C9" s="135">
        <v>1.2</v>
      </c>
      <c r="D9" s="135">
        <v>1.639</v>
      </c>
      <c r="E9" s="135">
        <v>1.639</v>
      </c>
    </row>
    <row r="10" spans="1:5">
      <c r="A10" s="134">
        <v>13</v>
      </c>
      <c r="B10" s="135">
        <v>1.268</v>
      </c>
      <c r="C10" s="135">
        <v>1.268</v>
      </c>
      <c r="D10" s="135">
        <v>1.7310000000000001</v>
      </c>
      <c r="E10" s="135">
        <v>1.7310000000000001</v>
      </c>
    </row>
    <row r="11" spans="1:5">
      <c r="A11" s="134">
        <v>14</v>
      </c>
      <c r="B11" s="135">
        <v>1.335</v>
      </c>
      <c r="C11" s="135">
        <v>1.335</v>
      </c>
      <c r="D11" s="135">
        <v>1.823</v>
      </c>
      <c r="E11" s="135">
        <v>1.823</v>
      </c>
    </row>
    <row r="12" spans="1:5">
      <c r="A12" s="134">
        <v>15</v>
      </c>
      <c r="B12" s="135">
        <v>1.746</v>
      </c>
      <c r="C12" s="135">
        <v>1.746</v>
      </c>
      <c r="D12" s="135">
        <v>2.3839999999999999</v>
      </c>
      <c r="E12" s="135">
        <v>2.3839999999999999</v>
      </c>
    </row>
    <row r="13" spans="1:5">
      <c r="A13" s="134">
        <v>16</v>
      </c>
      <c r="B13" s="135">
        <v>1.8140000000000001</v>
      </c>
      <c r="C13" s="135">
        <v>1.8140000000000001</v>
      </c>
      <c r="D13" s="135">
        <v>2.476</v>
      </c>
      <c r="E13" s="135">
        <v>2.476</v>
      </c>
    </row>
    <row r="14" spans="1:5">
      <c r="A14" s="134">
        <v>17</v>
      </c>
      <c r="B14" s="135">
        <v>1.881</v>
      </c>
      <c r="C14" s="135">
        <v>1.881</v>
      </c>
      <c r="D14" s="135">
        <v>2.5680000000000001</v>
      </c>
      <c r="E14" s="135">
        <v>2.5680000000000001</v>
      </c>
    </row>
    <row r="15" spans="1:5">
      <c r="A15" s="134">
        <v>18</v>
      </c>
      <c r="B15" s="135">
        <v>1.9490000000000001</v>
      </c>
      <c r="C15" s="135">
        <v>1.9490000000000001</v>
      </c>
      <c r="D15" s="135">
        <v>2.66</v>
      </c>
      <c r="E15" s="135">
        <v>2.66</v>
      </c>
    </row>
    <row r="16" spans="1:5">
      <c r="A16" s="134">
        <v>19</v>
      </c>
      <c r="B16" s="135">
        <v>2.14</v>
      </c>
      <c r="C16" s="135">
        <v>2.14</v>
      </c>
      <c r="D16" s="135">
        <v>2.9209999999999998</v>
      </c>
      <c r="E16" s="135">
        <v>2.9209999999999998</v>
      </c>
    </row>
    <row r="17" spans="1:6">
      <c r="A17" s="134">
        <v>20</v>
      </c>
      <c r="B17" s="135">
        <v>2.6890000000000001</v>
      </c>
      <c r="C17" s="135">
        <v>2.6890000000000001</v>
      </c>
      <c r="D17" s="135">
        <v>3.67</v>
      </c>
      <c r="E17" s="135">
        <v>3.67</v>
      </c>
    </row>
    <row r="18" spans="1:6">
      <c r="A18" s="134">
        <v>21</v>
      </c>
      <c r="B18" s="135">
        <v>2.7559999999999998</v>
      </c>
      <c r="C18" s="135">
        <v>3.1669999999999998</v>
      </c>
      <c r="D18" s="135">
        <v>3.762</v>
      </c>
      <c r="E18" s="135">
        <v>4.3230000000000004</v>
      </c>
      <c r="F18" s="137">
        <f>E18-D18</f>
        <v>0.56100000000000039</v>
      </c>
    </row>
    <row r="19" spans="1:6">
      <c r="A19" s="134">
        <v>22</v>
      </c>
      <c r="B19" s="135">
        <v>2.8239999999999998</v>
      </c>
      <c r="C19" s="135">
        <v>3.2349999999999999</v>
      </c>
      <c r="D19" s="135">
        <v>3.8540000000000001</v>
      </c>
      <c r="E19" s="135">
        <v>4.4160000000000004</v>
      </c>
    </row>
    <row r="20" spans="1:6">
      <c r="A20" s="134">
        <v>23</v>
      </c>
      <c r="B20" s="135">
        <v>2.891</v>
      </c>
      <c r="C20" s="135">
        <v>3.302</v>
      </c>
      <c r="D20" s="135">
        <v>3.9470000000000001</v>
      </c>
      <c r="E20" s="135">
        <v>4.508</v>
      </c>
    </row>
    <row r="21" spans="1:6">
      <c r="A21" s="134">
        <v>24</v>
      </c>
      <c r="B21" s="135">
        <v>2.9590000000000001</v>
      </c>
      <c r="C21" s="135">
        <v>3.37</v>
      </c>
      <c r="D21" s="135">
        <v>4.0389999999999997</v>
      </c>
      <c r="E21" s="135">
        <v>4.5999999999999996</v>
      </c>
    </row>
    <row r="22" spans="1:6">
      <c r="A22" s="134">
        <v>25</v>
      </c>
      <c r="B22" s="135">
        <v>3.2320000000000002</v>
      </c>
      <c r="C22" s="135">
        <v>3.6429999999999998</v>
      </c>
      <c r="D22" s="135">
        <v>4.4119999999999999</v>
      </c>
      <c r="E22" s="135">
        <v>4.9729999999999999</v>
      </c>
    </row>
    <row r="23" spans="1:6">
      <c r="A23" s="134">
        <v>26</v>
      </c>
      <c r="B23" s="135"/>
      <c r="C23" s="135">
        <v>4.173</v>
      </c>
      <c r="D23" s="135"/>
      <c r="E23" s="135">
        <v>5.6970000000000001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6DD8C-968B-4AC8-8C36-3F6AE31D9B58}">
  <sheetPr codeName="Sheet16"/>
  <dimension ref="A1:G84"/>
  <sheetViews>
    <sheetView topLeftCell="A31" workbookViewId="0">
      <selection activeCell="B55" sqref="B55"/>
    </sheetView>
  </sheetViews>
  <sheetFormatPr defaultColWidth="9.73046875" defaultRowHeight="14.25"/>
  <cols>
    <col min="1" max="1" width="28.73046875" style="116" customWidth="1"/>
    <col min="2" max="2" width="8.3984375" style="119" customWidth="1"/>
    <col min="3" max="3" width="6" style="118" customWidth="1"/>
    <col min="4" max="4" width="9.86328125" style="118" bestFit="1" customWidth="1"/>
    <col min="5" max="5" width="14.1328125" style="116" bestFit="1" customWidth="1"/>
    <col min="6" max="6" width="11.3984375" style="117" customWidth="1"/>
    <col min="7" max="7" width="11.59765625" style="116" bestFit="1" customWidth="1"/>
    <col min="8" max="16384" width="9.73046875" style="116"/>
  </cols>
  <sheetData>
    <row r="1" spans="1:6" ht="15" thickTop="1" thickBot="1">
      <c r="A1" s="124" t="s">
        <v>219</v>
      </c>
      <c r="B1" s="116" t="s">
        <v>218</v>
      </c>
    </row>
    <row r="2" spans="1:6" ht="15" thickTop="1" thickBot="1">
      <c r="A2" s="124" t="s">
        <v>217</v>
      </c>
      <c r="B2" s="124" t="s">
        <v>216</v>
      </c>
      <c r="C2" s="124" t="s">
        <v>215</v>
      </c>
      <c r="D2" s="124" t="s">
        <v>214</v>
      </c>
      <c r="E2" s="124" t="s">
        <v>213</v>
      </c>
      <c r="F2" s="124" t="s">
        <v>212</v>
      </c>
    </row>
    <row r="3" spans="1:6" ht="14.65" thickTop="1">
      <c r="A3" s="121" t="s">
        <v>211</v>
      </c>
      <c r="B3" s="123">
        <v>43556</v>
      </c>
      <c r="C3" s="122">
        <v>1</v>
      </c>
      <c r="D3" s="122">
        <v>0</v>
      </c>
      <c r="E3" s="121" t="s">
        <v>210</v>
      </c>
      <c r="F3" s="120">
        <v>0</v>
      </c>
    </row>
    <row r="4" spans="1:6">
      <c r="A4" s="121" t="s">
        <v>211</v>
      </c>
      <c r="B4" s="123">
        <v>43556</v>
      </c>
      <c r="C4" s="122">
        <v>2</v>
      </c>
      <c r="D4" s="122">
        <v>6</v>
      </c>
      <c r="E4" s="121" t="s">
        <v>210</v>
      </c>
      <c r="F4" s="120">
        <v>0.14899999999999999</v>
      </c>
    </row>
    <row r="5" spans="1:6">
      <c r="A5" s="121" t="s">
        <v>211</v>
      </c>
      <c r="B5" s="123">
        <v>43556</v>
      </c>
      <c r="C5" s="122">
        <v>3</v>
      </c>
      <c r="D5" s="122">
        <v>7</v>
      </c>
      <c r="E5" s="121" t="s">
        <v>210</v>
      </c>
      <c r="F5" s="120">
        <v>0.21099999999999999</v>
      </c>
    </row>
    <row r="6" spans="1:6">
      <c r="A6" s="121" t="s">
        <v>211</v>
      </c>
      <c r="B6" s="123">
        <v>43556</v>
      </c>
      <c r="C6" s="122">
        <v>4</v>
      </c>
      <c r="D6" s="122">
        <v>8</v>
      </c>
      <c r="E6" s="121" t="s">
        <v>210</v>
      </c>
      <c r="F6" s="120">
        <v>0.27300000000000002</v>
      </c>
    </row>
    <row r="7" spans="1:6">
      <c r="A7" s="121" t="s">
        <v>211</v>
      </c>
      <c r="B7" s="123">
        <v>43556</v>
      </c>
      <c r="C7" s="122">
        <v>5</v>
      </c>
      <c r="D7" s="122">
        <v>9</v>
      </c>
      <c r="E7" s="121" t="s">
        <v>210</v>
      </c>
      <c r="F7" s="120">
        <v>0.33500000000000002</v>
      </c>
    </row>
    <row r="8" spans="1:6">
      <c r="A8" s="121" t="s">
        <v>211</v>
      </c>
      <c r="B8" s="123">
        <v>43556</v>
      </c>
      <c r="C8" s="122">
        <v>6</v>
      </c>
      <c r="D8" s="122">
        <v>10</v>
      </c>
      <c r="E8" s="121" t="s">
        <v>210</v>
      </c>
      <c r="F8" s="120">
        <v>0.39700000000000002</v>
      </c>
    </row>
    <row r="9" spans="1:6">
      <c r="A9" s="121" t="s">
        <v>211</v>
      </c>
      <c r="B9" s="123">
        <v>43556</v>
      </c>
      <c r="C9" s="122">
        <v>7</v>
      </c>
      <c r="D9" s="122">
        <v>11</v>
      </c>
      <c r="E9" s="121" t="s">
        <v>210</v>
      </c>
      <c r="F9" s="120">
        <v>1.2</v>
      </c>
    </row>
    <row r="10" spans="1:6">
      <c r="A10" s="121" t="s">
        <v>211</v>
      </c>
      <c r="B10" s="123">
        <v>43556</v>
      </c>
      <c r="C10" s="122">
        <v>8</v>
      </c>
      <c r="D10" s="122">
        <v>12</v>
      </c>
      <c r="E10" s="121" t="s">
        <v>210</v>
      </c>
      <c r="F10" s="120">
        <v>1.268</v>
      </c>
    </row>
    <row r="11" spans="1:6">
      <c r="A11" s="121" t="s">
        <v>211</v>
      </c>
      <c r="B11" s="123">
        <v>43556</v>
      </c>
      <c r="C11" s="122">
        <v>9</v>
      </c>
      <c r="D11" s="122">
        <v>13</v>
      </c>
      <c r="E11" s="121" t="s">
        <v>210</v>
      </c>
      <c r="F11" s="120">
        <v>1.335</v>
      </c>
    </row>
    <row r="12" spans="1:6">
      <c r="A12" s="121" t="s">
        <v>211</v>
      </c>
      <c r="B12" s="123">
        <v>43556</v>
      </c>
      <c r="C12" s="122">
        <v>10</v>
      </c>
      <c r="D12" s="122">
        <v>14</v>
      </c>
      <c r="E12" s="121" t="s">
        <v>210</v>
      </c>
      <c r="F12" s="120">
        <v>1.746</v>
      </c>
    </row>
    <row r="13" spans="1:6">
      <c r="A13" s="121" t="s">
        <v>211</v>
      </c>
      <c r="B13" s="123">
        <v>43556</v>
      </c>
      <c r="C13" s="122">
        <v>11</v>
      </c>
      <c r="D13" s="122">
        <v>15</v>
      </c>
      <c r="E13" s="121" t="s">
        <v>210</v>
      </c>
      <c r="F13" s="120">
        <v>1.8140000000000001</v>
      </c>
    </row>
    <row r="14" spans="1:6">
      <c r="A14" s="121" t="s">
        <v>211</v>
      </c>
      <c r="B14" s="123">
        <v>43556</v>
      </c>
      <c r="C14" s="122">
        <v>12</v>
      </c>
      <c r="D14" s="122">
        <v>16</v>
      </c>
      <c r="E14" s="121" t="s">
        <v>210</v>
      </c>
      <c r="F14" s="120">
        <v>1.881</v>
      </c>
    </row>
    <row r="15" spans="1:6">
      <c r="A15" s="121" t="s">
        <v>211</v>
      </c>
      <c r="B15" s="123">
        <v>43556</v>
      </c>
      <c r="C15" s="122">
        <v>13</v>
      </c>
      <c r="D15" s="122">
        <v>17</v>
      </c>
      <c r="E15" s="121" t="s">
        <v>210</v>
      </c>
      <c r="F15" s="120">
        <v>1.9490000000000001</v>
      </c>
    </row>
    <row r="16" spans="1:6">
      <c r="A16" s="121" t="s">
        <v>211</v>
      </c>
      <c r="B16" s="123">
        <v>43556</v>
      </c>
      <c r="C16" s="122">
        <v>14</v>
      </c>
      <c r="D16" s="122">
        <v>18</v>
      </c>
      <c r="E16" s="121" t="s">
        <v>210</v>
      </c>
      <c r="F16" s="120">
        <v>2.14</v>
      </c>
    </row>
    <row r="17" spans="1:7">
      <c r="A17" s="121" t="s">
        <v>211</v>
      </c>
      <c r="B17" s="123">
        <v>43556</v>
      </c>
      <c r="C17" s="122">
        <v>15</v>
      </c>
      <c r="D17" s="122">
        <v>19</v>
      </c>
      <c r="E17" s="121" t="s">
        <v>210</v>
      </c>
      <c r="F17" s="120">
        <v>2.6890000000000001</v>
      </c>
    </row>
    <row r="18" spans="1:7">
      <c r="A18" s="121" t="s">
        <v>211</v>
      </c>
      <c r="B18" s="123">
        <v>43556</v>
      </c>
      <c r="C18" s="122">
        <v>16</v>
      </c>
      <c r="D18" s="122">
        <v>20</v>
      </c>
      <c r="E18" s="121" t="s">
        <v>210</v>
      </c>
      <c r="F18" s="120">
        <v>2.7559999999999998</v>
      </c>
    </row>
    <row r="19" spans="1:7">
      <c r="A19" s="121" t="s">
        <v>211</v>
      </c>
      <c r="B19" s="123">
        <v>43556</v>
      </c>
      <c r="C19" s="122">
        <v>17</v>
      </c>
      <c r="D19" s="122">
        <v>21</v>
      </c>
      <c r="E19" s="121" t="s">
        <v>210</v>
      </c>
      <c r="F19" s="120">
        <v>2.8239999999999998</v>
      </c>
    </row>
    <row r="20" spans="1:7">
      <c r="A20" s="121" t="s">
        <v>211</v>
      </c>
      <c r="B20" s="123">
        <v>43556</v>
      </c>
      <c r="C20" s="122">
        <v>18</v>
      </c>
      <c r="D20" s="122">
        <v>22</v>
      </c>
      <c r="E20" s="121" t="s">
        <v>210</v>
      </c>
      <c r="F20" s="120">
        <v>2.891</v>
      </c>
    </row>
    <row r="21" spans="1:7">
      <c r="A21" s="121" t="s">
        <v>211</v>
      </c>
      <c r="B21" s="123">
        <v>43556</v>
      </c>
      <c r="C21" s="122">
        <v>19</v>
      </c>
      <c r="D21" s="122">
        <v>23</v>
      </c>
      <c r="E21" s="121" t="s">
        <v>210</v>
      </c>
      <c r="F21" s="120">
        <v>2.9590000000000001</v>
      </c>
    </row>
    <row r="22" spans="1:7">
      <c r="A22" s="121" t="s">
        <v>211</v>
      </c>
      <c r="B22" s="123">
        <v>43556</v>
      </c>
      <c r="C22" s="122">
        <v>20</v>
      </c>
      <c r="D22" s="122">
        <v>24</v>
      </c>
      <c r="E22" s="121" t="s">
        <v>210</v>
      </c>
      <c r="F22" s="120">
        <v>3.2320000000000002</v>
      </c>
    </row>
    <row r="23" spans="1:7">
      <c r="A23" s="116" t="s">
        <v>209</v>
      </c>
      <c r="B23" s="119">
        <v>43556</v>
      </c>
      <c r="C23" s="118">
        <v>1</v>
      </c>
      <c r="D23" s="118">
        <v>0</v>
      </c>
      <c r="E23" s="116" t="s">
        <v>208</v>
      </c>
      <c r="F23" s="117">
        <v>0</v>
      </c>
    </row>
    <row r="24" spans="1:7">
      <c r="A24" s="116" t="s">
        <v>209</v>
      </c>
      <c r="B24" s="119">
        <v>43556</v>
      </c>
      <c r="C24" s="118">
        <v>2</v>
      </c>
      <c r="D24" s="118">
        <v>6</v>
      </c>
      <c r="E24" s="116" t="s">
        <v>208</v>
      </c>
      <c r="F24" s="117">
        <v>0.20300000000000001</v>
      </c>
      <c r="G24" s="125">
        <f>F24*1.015</f>
        <v>0.20604500000000001</v>
      </c>
    </row>
    <row r="25" spans="1:7">
      <c r="A25" s="116" t="s">
        <v>209</v>
      </c>
      <c r="B25" s="119">
        <v>43556</v>
      </c>
      <c r="C25" s="118">
        <v>3</v>
      </c>
      <c r="D25" s="118">
        <v>7</v>
      </c>
      <c r="E25" s="116" t="s">
        <v>208</v>
      </c>
      <c r="F25" s="117">
        <v>0.28799999999999998</v>
      </c>
      <c r="G25" s="125"/>
    </row>
    <row r="26" spans="1:7">
      <c r="A26" s="116" t="s">
        <v>209</v>
      </c>
      <c r="B26" s="119">
        <v>43556</v>
      </c>
      <c r="C26" s="118">
        <v>4</v>
      </c>
      <c r="D26" s="118">
        <v>8</v>
      </c>
      <c r="E26" s="116" t="s">
        <v>208</v>
      </c>
      <c r="F26" s="117">
        <v>0.372</v>
      </c>
      <c r="G26" s="125"/>
    </row>
    <row r="27" spans="1:7">
      <c r="A27" s="116" t="s">
        <v>209</v>
      </c>
      <c r="B27" s="119">
        <v>43556</v>
      </c>
      <c r="C27" s="118">
        <v>5</v>
      </c>
      <c r="D27" s="118">
        <v>9</v>
      </c>
      <c r="E27" s="116" t="s">
        <v>208</v>
      </c>
      <c r="F27" s="117">
        <v>0.45700000000000002</v>
      </c>
      <c r="G27" s="125"/>
    </row>
    <row r="28" spans="1:7">
      <c r="A28" s="116" t="s">
        <v>209</v>
      </c>
      <c r="B28" s="119">
        <v>43556</v>
      </c>
      <c r="C28" s="118">
        <v>6</v>
      </c>
      <c r="D28" s="118">
        <v>10</v>
      </c>
      <c r="E28" s="116" t="s">
        <v>208</v>
      </c>
      <c r="F28" s="117">
        <v>0.54200000000000004</v>
      </c>
      <c r="G28" s="125"/>
    </row>
    <row r="29" spans="1:7">
      <c r="A29" s="116" t="s">
        <v>209</v>
      </c>
      <c r="B29" s="119">
        <v>43556</v>
      </c>
      <c r="C29" s="118">
        <v>7</v>
      </c>
      <c r="D29" s="118">
        <v>11</v>
      </c>
      <c r="E29" s="116" t="s">
        <v>208</v>
      </c>
      <c r="F29" s="117">
        <v>1.639</v>
      </c>
      <c r="G29" s="125"/>
    </row>
    <row r="30" spans="1:7">
      <c r="A30" s="116" t="s">
        <v>209</v>
      </c>
      <c r="B30" s="119">
        <v>43556</v>
      </c>
      <c r="C30" s="118">
        <v>8</v>
      </c>
      <c r="D30" s="118">
        <v>12</v>
      </c>
      <c r="E30" s="116" t="s">
        <v>208</v>
      </c>
      <c r="F30" s="117">
        <v>1.7310000000000001</v>
      </c>
      <c r="G30" s="125"/>
    </row>
    <row r="31" spans="1:7">
      <c r="A31" s="116" t="s">
        <v>209</v>
      </c>
      <c r="B31" s="119">
        <v>43556</v>
      </c>
      <c r="C31" s="118">
        <v>9</v>
      </c>
      <c r="D31" s="118">
        <v>13</v>
      </c>
      <c r="E31" s="116" t="s">
        <v>208</v>
      </c>
      <c r="F31" s="117">
        <v>1.823</v>
      </c>
      <c r="G31" s="125"/>
    </row>
    <row r="32" spans="1:7">
      <c r="A32" s="116" t="s">
        <v>209</v>
      </c>
      <c r="B32" s="119">
        <v>43556</v>
      </c>
      <c r="C32" s="118">
        <v>10</v>
      </c>
      <c r="D32" s="118">
        <v>14</v>
      </c>
      <c r="E32" s="116" t="s">
        <v>208</v>
      </c>
      <c r="F32" s="117">
        <v>2.3839999999999999</v>
      </c>
      <c r="G32" s="125"/>
    </row>
    <row r="33" spans="1:7">
      <c r="A33" s="116" t="s">
        <v>209</v>
      </c>
      <c r="B33" s="119">
        <v>43556</v>
      </c>
      <c r="C33" s="118">
        <v>11</v>
      </c>
      <c r="D33" s="118">
        <v>15</v>
      </c>
      <c r="E33" s="116" t="s">
        <v>208</v>
      </c>
      <c r="F33" s="117">
        <v>2.476</v>
      </c>
      <c r="G33" s="125"/>
    </row>
    <row r="34" spans="1:7">
      <c r="A34" s="116" t="s">
        <v>209</v>
      </c>
      <c r="B34" s="119">
        <v>43556</v>
      </c>
      <c r="C34" s="118">
        <v>12</v>
      </c>
      <c r="D34" s="118">
        <v>16</v>
      </c>
      <c r="E34" s="116" t="s">
        <v>208</v>
      </c>
      <c r="F34" s="117">
        <v>2.5680000000000001</v>
      </c>
      <c r="G34" s="125"/>
    </row>
    <row r="35" spans="1:7">
      <c r="A35" s="116" t="s">
        <v>209</v>
      </c>
      <c r="B35" s="119">
        <v>43556</v>
      </c>
      <c r="C35" s="118">
        <v>13</v>
      </c>
      <c r="D35" s="118">
        <v>17</v>
      </c>
      <c r="E35" s="116" t="s">
        <v>208</v>
      </c>
      <c r="F35" s="117">
        <v>2.66</v>
      </c>
      <c r="G35" s="125"/>
    </row>
    <row r="36" spans="1:7">
      <c r="A36" s="116" t="s">
        <v>209</v>
      </c>
      <c r="B36" s="119">
        <v>43556</v>
      </c>
      <c r="C36" s="118">
        <v>14</v>
      </c>
      <c r="D36" s="118">
        <v>18</v>
      </c>
      <c r="E36" s="116" t="s">
        <v>208</v>
      </c>
      <c r="F36" s="117">
        <v>2.9209999999999998</v>
      </c>
      <c r="G36" s="125"/>
    </row>
    <row r="37" spans="1:7">
      <c r="A37" s="116" t="s">
        <v>209</v>
      </c>
      <c r="B37" s="119">
        <v>43556</v>
      </c>
      <c r="C37" s="118">
        <v>15</v>
      </c>
      <c r="D37" s="118">
        <v>19</v>
      </c>
      <c r="E37" s="116" t="s">
        <v>208</v>
      </c>
      <c r="F37" s="117">
        <v>3.67</v>
      </c>
      <c r="G37" s="125"/>
    </row>
    <row r="38" spans="1:7">
      <c r="A38" s="116" t="s">
        <v>209</v>
      </c>
      <c r="B38" s="119">
        <v>43556</v>
      </c>
      <c r="C38" s="118">
        <v>16</v>
      </c>
      <c r="D38" s="118">
        <v>20</v>
      </c>
      <c r="E38" s="116" t="s">
        <v>208</v>
      </c>
      <c r="F38" s="117">
        <v>3.762</v>
      </c>
      <c r="G38" s="125"/>
    </row>
    <row r="39" spans="1:7">
      <c r="A39" s="116" t="s">
        <v>209</v>
      </c>
      <c r="B39" s="119">
        <v>43556</v>
      </c>
      <c r="C39" s="118">
        <v>17</v>
      </c>
      <c r="D39" s="118">
        <v>21</v>
      </c>
      <c r="E39" s="116" t="s">
        <v>208</v>
      </c>
      <c r="F39" s="117">
        <v>3.8540000000000001</v>
      </c>
      <c r="G39" s="125"/>
    </row>
    <row r="40" spans="1:7">
      <c r="A40" s="116" t="s">
        <v>209</v>
      </c>
      <c r="B40" s="119">
        <v>43556</v>
      </c>
      <c r="C40" s="118">
        <v>18</v>
      </c>
      <c r="D40" s="118">
        <v>22</v>
      </c>
      <c r="E40" s="116" t="s">
        <v>208</v>
      </c>
      <c r="F40" s="117">
        <v>3.9470000000000001</v>
      </c>
      <c r="G40" s="125"/>
    </row>
    <row r="41" spans="1:7">
      <c r="A41" s="116" t="s">
        <v>209</v>
      </c>
      <c r="B41" s="119">
        <v>43556</v>
      </c>
      <c r="C41" s="118">
        <v>19</v>
      </c>
      <c r="D41" s="118">
        <v>23</v>
      </c>
      <c r="E41" s="116" t="s">
        <v>208</v>
      </c>
      <c r="F41" s="117">
        <v>4.0389999999999997</v>
      </c>
      <c r="G41" s="125"/>
    </row>
    <row r="42" spans="1:7">
      <c r="A42" s="116" t="s">
        <v>209</v>
      </c>
      <c r="B42" s="119">
        <v>43556</v>
      </c>
      <c r="C42" s="118">
        <v>20</v>
      </c>
      <c r="D42" s="118">
        <v>24</v>
      </c>
      <c r="E42" s="116" t="s">
        <v>208</v>
      </c>
      <c r="F42" s="117">
        <v>4.4119999999999999</v>
      </c>
      <c r="G42" s="125"/>
    </row>
    <row r="43" spans="1:7">
      <c r="A43" t="s">
        <v>220</v>
      </c>
      <c r="B43" s="98">
        <v>43556</v>
      </c>
      <c r="C43" s="127">
        <v>1</v>
      </c>
      <c r="D43" s="127">
        <v>0</v>
      </c>
      <c r="E43" t="s">
        <v>221</v>
      </c>
      <c r="F43" s="128">
        <v>0</v>
      </c>
    </row>
    <row r="44" spans="1:7">
      <c r="A44" t="s">
        <v>220</v>
      </c>
      <c r="B44" s="98">
        <v>43556</v>
      </c>
      <c r="C44" s="127">
        <v>2</v>
      </c>
      <c r="D44" s="127">
        <v>6</v>
      </c>
      <c r="E44" t="s">
        <v>221</v>
      </c>
      <c r="F44" s="128">
        <v>0.14899999999999999</v>
      </c>
    </row>
    <row r="45" spans="1:7">
      <c r="A45" t="s">
        <v>220</v>
      </c>
      <c r="B45" s="98">
        <v>43556</v>
      </c>
      <c r="C45" s="127">
        <v>3</v>
      </c>
      <c r="D45" s="127">
        <v>7</v>
      </c>
      <c r="E45" t="s">
        <v>221</v>
      </c>
      <c r="F45" s="128">
        <v>0.21099999999999999</v>
      </c>
    </row>
    <row r="46" spans="1:7">
      <c r="A46" t="s">
        <v>220</v>
      </c>
      <c r="B46" s="98">
        <v>43556</v>
      </c>
      <c r="C46" s="127">
        <v>4</v>
      </c>
      <c r="D46" s="127">
        <v>8</v>
      </c>
      <c r="E46" t="s">
        <v>221</v>
      </c>
      <c r="F46" s="128">
        <v>0.27300000000000002</v>
      </c>
    </row>
    <row r="47" spans="1:7">
      <c r="A47" t="s">
        <v>220</v>
      </c>
      <c r="B47" s="98">
        <v>43556</v>
      </c>
      <c r="C47" s="127">
        <v>5</v>
      </c>
      <c r="D47" s="127">
        <v>9</v>
      </c>
      <c r="E47" t="s">
        <v>221</v>
      </c>
      <c r="F47" s="128">
        <v>0.33500000000000002</v>
      </c>
    </row>
    <row r="48" spans="1:7">
      <c r="A48" t="s">
        <v>220</v>
      </c>
      <c r="B48" s="98">
        <v>43556</v>
      </c>
      <c r="C48" s="127">
        <v>6</v>
      </c>
      <c r="D48" s="127">
        <v>10</v>
      </c>
      <c r="E48" t="s">
        <v>221</v>
      </c>
      <c r="F48" s="128">
        <v>0.39700000000000002</v>
      </c>
    </row>
    <row r="49" spans="1:6">
      <c r="A49" t="s">
        <v>220</v>
      </c>
      <c r="B49" s="98">
        <v>43556</v>
      </c>
      <c r="C49" s="127">
        <v>7</v>
      </c>
      <c r="D49" s="127">
        <v>11</v>
      </c>
      <c r="E49" t="s">
        <v>221</v>
      </c>
      <c r="F49" s="128">
        <v>1.2</v>
      </c>
    </row>
    <row r="50" spans="1:6">
      <c r="A50" t="s">
        <v>220</v>
      </c>
      <c r="B50" s="98">
        <v>43556</v>
      </c>
      <c r="C50" s="127">
        <v>8</v>
      </c>
      <c r="D50" s="127">
        <v>12</v>
      </c>
      <c r="E50" t="s">
        <v>221</v>
      </c>
      <c r="F50" s="128">
        <v>1.268</v>
      </c>
    </row>
    <row r="51" spans="1:6">
      <c r="A51" t="s">
        <v>220</v>
      </c>
      <c r="B51" s="98">
        <v>43556</v>
      </c>
      <c r="C51" s="127">
        <v>9</v>
      </c>
      <c r="D51" s="127">
        <v>13</v>
      </c>
      <c r="E51" t="s">
        <v>221</v>
      </c>
      <c r="F51" s="128">
        <v>1.335</v>
      </c>
    </row>
    <row r="52" spans="1:6">
      <c r="A52" t="s">
        <v>220</v>
      </c>
      <c r="B52" s="98">
        <v>43556</v>
      </c>
      <c r="C52" s="127">
        <v>10</v>
      </c>
      <c r="D52" s="127">
        <v>14</v>
      </c>
      <c r="E52" t="s">
        <v>221</v>
      </c>
      <c r="F52" s="128">
        <v>1.746</v>
      </c>
    </row>
    <row r="53" spans="1:6">
      <c r="A53" t="s">
        <v>220</v>
      </c>
      <c r="B53" s="98">
        <v>43556</v>
      </c>
      <c r="C53" s="127">
        <v>11</v>
      </c>
      <c r="D53" s="127">
        <v>15</v>
      </c>
      <c r="E53" t="s">
        <v>221</v>
      </c>
      <c r="F53" s="128">
        <v>1.8140000000000001</v>
      </c>
    </row>
    <row r="54" spans="1:6">
      <c r="A54" t="s">
        <v>220</v>
      </c>
      <c r="B54" s="98">
        <v>43556</v>
      </c>
      <c r="C54" s="127">
        <v>12</v>
      </c>
      <c r="D54" s="127">
        <v>16</v>
      </c>
      <c r="E54" t="s">
        <v>221</v>
      </c>
      <c r="F54" s="128">
        <v>1.881</v>
      </c>
    </row>
    <row r="55" spans="1:6">
      <c r="A55" t="s">
        <v>220</v>
      </c>
      <c r="B55" s="98">
        <v>43556</v>
      </c>
      <c r="C55" s="127">
        <v>13</v>
      </c>
      <c r="D55" s="127">
        <v>17</v>
      </c>
      <c r="E55" t="s">
        <v>221</v>
      </c>
      <c r="F55" s="128">
        <v>1.9490000000000001</v>
      </c>
    </row>
    <row r="56" spans="1:6">
      <c r="A56" t="s">
        <v>220</v>
      </c>
      <c r="B56" s="98">
        <v>43556</v>
      </c>
      <c r="C56" s="127">
        <v>14</v>
      </c>
      <c r="D56" s="127">
        <v>18</v>
      </c>
      <c r="E56" t="s">
        <v>221</v>
      </c>
      <c r="F56" s="128">
        <v>2.14</v>
      </c>
    </row>
    <row r="57" spans="1:6">
      <c r="A57" t="s">
        <v>220</v>
      </c>
      <c r="B57" s="98">
        <v>43556</v>
      </c>
      <c r="C57" s="127">
        <v>15</v>
      </c>
      <c r="D57" s="127">
        <v>19</v>
      </c>
      <c r="E57" t="s">
        <v>221</v>
      </c>
      <c r="F57" s="128">
        <v>2.6890000000000001</v>
      </c>
    </row>
    <row r="58" spans="1:6">
      <c r="A58" t="s">
        <v>220</v>
      </c>
      <c r="B58" s="98">
        <v>43556</v>
      </c>
      <c r="C58" s="127">
        <v>16</v>
      </c>
      <c r="D58" s="127">
        <v>20</v>
      </c>
      <c r="E58" t="s">
        <v>221</v>
      </c>
      <c r="F58" s="128">
        <v>3.1669999999999998</v>
      </c>
    </row>
    <row r="59" spans="1:6">
      <c r="A59" t="s">
        <v>220</v>
      </c>
      <c r="B59" s="98">
        <v>43556</v>
      </c>
      <c r="C59" s="127">
        <v>17</v>
      </c>
      <c r="D59" s="127">
        <v>21</v>
      </c>
      <c r="E59" t="s">
        <v>221</v>
      </c>
      <c r="F59" s="128">
        <v>3.2349999999999999</v>
      </c>
    </row>
    <row r="60" spans="1:6">
      <c r="A60" t="s">
        <v>220</v>
      </c>
      <c r="B60" s="98">
        <v>43556</v>
      </c>
      <c r="C60" s="127">
        <v>18</v>
      </c>
      <c r="D60" s="127">
        <v>22</v>
      </c>
      <c r="E60" t="s">
        <v>221</v>
      </c>
      <c r="F60" s="128">
        <v>3.302</v>
      </c>
    </row>
    <row r="61" spans="1:6">
      <c r="A61" t="s">
        <v>220</v>
      </c>
      <c r="B61" s="98">
        <v>43556</v>
      </c>
      <c r="C61" s="127">
        <v>19</v>
      </c>
      <c r="D61" s="127">
        <v>23</v>
      </c>
      <c r="E61" t="s">
        <v>221</v>
      </c>
      <c r="F61" s="128">
        <v>3.37</v>
      </c>
    </row>
    <row r="62" spans="1:6">
      <c r="A62" t="s">
        <v>220</v>
      </c>
      <c r="B62" s="98">
        <v>43556</v>
      </c>
      <c r="C62" s="127">
        <v>20</v>
      </c>
      <c r="D62" s="127">
        <v>24</v>
      </c>
      <c r="E62" t="s">
        <v>221</v>
      </c>
      <c r="F62" s="128">
        <v>3.6429999999999998</v>
      </c>
    </row>
    <row r="63" spans="1:6">
      <c r="A63" t="s">
        <v>220</v>
      </c>
      <c r="B63" s="98">
        <v>43556</v>
      </c>
      <c r="C63" s="127">
        <v>21</v>
      </c>
      <c r="D63" s="127">
        <v>25</v>
      </c>
      <c r="E63" t="s">
        <v>221</v>
      </c>
      <c r="F63" s="128">
        <v>4.173</v>
      </c>
    </row>
    <row r="64" spans="1:6">
      <c r="A64" t="s">
        <v>222</v>
      </c>
      <c r="B64" s="98">
        <v>43556</v>
      </c>
      <c r="C64" s="127">
        <v>1</v>
      </c>
      <c r="D64" s="127">
        <v>0</v>
      </c>
      <c r="E64" t="s">
        <v>223</v>
      </c>
      <c r="F64" s="128">
        <v>0</v>
      </c>
    </row>
    <row r="65" spans="1:6">
      <c r="A65" t="s">
        <v>222</v>
      </c>
      <c r="B65" s="98">
        <v>43556</v>
      </c>
      <c r="C65" s="127">
        <v>2</v>
      </c>
      <c r="D65" s="127">
        <v>6</v>
      </c>
      <c r="E65" t="s">
        <v>223</v>
      </c>
      <c r="F65" s="128">
        <v>0.20300000000000001</v>
      </c>
    </row>
    <row r="66" spans="1:6">
      <c r="A66" t="s">
        <v>222</v>
      </c>
      <c r="B66" s="98">
        <v>43556</v>
      </c>
      <c r="C66" s="127">
        <v>3</v>
      </c>
      <c r="D66" s="127">
        <v>7</v>
      </c>
      <c r="E66" t="s">
        <v>223</v>
      </c>
      <c r="F66" s="128">
        <v>0.28799999999999998</v>
      </c>
    </row>
    <row r="67" spans="1:6">
      <c r="A67" t="s">
        <v>222</v>
      </c>
      <c r="B67" s="98">
        <v>43556</v>
      </c>
      <c r="C67" s="127">
        <v>4</v>
      </c>
      <c r="D67" s="127">
        <v>8</v>
      </c>
      <c r="E67" t="s">
        <v>223</v>
      </c>
      <c r="F67" s="128">
        <v>0.372</v>
      </c>
    </row>
    <row r="68" spans="1:6">
      <c r="A68" t="s">
        <v>222</v>
      </c>
      <c r="B68" s="98">
        <v>43556</v>
      </c>
      <c r="C68" s="127">
        <v>5</v>
      </c>
      <c r="D68" s="127">
        <v>9</v>
      </c>
      <c r="E68" t="s">
        <v>223</v>
      </c>
      <c r="F68" s="128">
        <v>0.45700000000000002</v>
      </c>
    </row>
    <row r="69" spans="1:6">
      <c r="A69" t="s">
        <v>222</v>
      </c>
      <c r="B69" s="98">
        <v>43556</v>
      </c>
      <c r="C69" s="127">
        <v>6</v>
      </c>
      <c r="D69" s="127">
        <v>10</v>
      </c>
      <c r="E69" t="s">
        <v>223</v>
      </c>
      <c r="F69" s="128">
        <v>0.54200000000000004</v>
      </c>
    </row>
    <row r="70" spans="1:6">
      <c r="A70" t="s">
        <v>222</v>
      </c>
      <c r="B70" s="98">
        <v>43556</v>
      </c>
      <c r="C70" s="127">
        <v>7</v>
      </c>
      <c r="D70" s="127">
        <v>11</v>
      </c>
      <c r="E70" t="s">
        <v>223</v>
      </c>
      <c r="F70" s="128">
        <v>1.639</v>
      </c>
    </row>
    <row r="71" spans="1:6">
      <c r="A71" t="s">
        <v>222</v>
      </c>
      <c r="B71" s="98">
        <v>43556</v>
      </c>
      <c r="C71" s="127">
        <v>8</v>
      </c>
      <c r="D71" s="127">
        <v>12</v>
      </c>
      <c r="E71" t="s">
        <v>223</v>
      </c>
      <c r="F71" s="128">
        <v>1.7310000000000001</v>
      </c>
    </row>
    <row r="72" spans="1:6">
      <c r="A72" t="s">
        <v>222</v>
      </c>
      <c r="B72" s="98">
        <v>43556</v>
      </c>
      <c r="C72" s="127">
        <v>9</v>
      </c>
      <c r="D72" s="127">
        <v>13</v>
      </c>
      <c r="E72" t="s">
        <v>223</v>
      </c>
      <c r="F72" s="128">
        <v>1.823</v>
      </c>
    </row>
    <row r="73" spans="1:6">
      <c r="A73" t="s">
        <v>222</v>
      </c>
      <c r="B73" s="98">
        <v>43556</v>
      </c>
      <c r="C73" s="127">
        <v>10</v>
      </c>
      <c r="D73" s="127">
        <v>14</v>
      </c>
      <c r="E73" t="s">
        <v>223</v>
      </c>
      <c r="F73" s="128">
        <v>2.3839999999999999</v>
      </c>
    </row>
    <row r="74" spans="1:6">
      <c r="A74" t="s">
        <v>222</v>
      </c>
      <c r="B74" s="98">
        <v>43556</v>
      </c>
      <c r="C74" s="127">
        <v>11</v>
      </c>
      <c r="D74" s="127">
        <v>15</v>
      </c>
      <c r="E74" t="s">
        <v>223</v>
      </c>
      <c r="F74" s="128">
        <v>2.476</v>
      </c>
    </row>
    <row r="75" spans="1:6">
      <c r="A75" t="s">
        <v>222</v>
      </c>
      <c r="B75" s="98">
        <v>43556</v>
      </c>
      <c r="C75" s="127">
        <v>12</v>
      </c>
      <c r="D75" s="127">
        <v>16</v>
      </c>
      <c r="E75" t="s">
        <v>223</v>
      </c>
      <c r="F75" s="128">
        <v>2.5680000000000001</v>
      </c>
    </row>
    <row r="76" spans="1:6">
      <c r="A76" t="s">
        <v>222</v>
      </c>
      <c r="B76" s="98">
        <v>43556</v>
      </c>
      <c r="C76" s="127">
        <v>13</v>
      </c>
      <c r="D76" s="127">
        <v>17</v>
      </c>
      <c r="E76" t="s">
        <v>223</v>
      </c>
      <c r="F76" s="128">
        <v>2.66</v>
      </c>
    </row>
    <row r="77" spans="1:6">
      <c r="A77" t="s">
        <v>222</v>
      </c>
      <c r="B77" s="98">
        <v>43556</v>
      </c>
      <c r="C77" s="127">
        <v>14</v>
      </c>
      <c r="D77" s="127">
        <v>18</v>
      </c>
      <c r="E77" t="s">
        <v>223</v>
      </c>
      <c r="F77" s="128">
        <v>2.9209999999999998</v>
      </c>
    </row>
    <row r="78" spans="1:6">
      <c r="A78" t="s">
        <v>222</v>
      </c>
      <c r="B78" s="98">
        <v>43556</v>
      </c>
      <c r="C78" s="127">
        <v>15</v>
      </c>
      <c r="D78" s="127">
        <v>19</v>
      </c>
      <c r="E78" t="s">
        <v>223</v>
      </c>
      <c r="F78" s="128">
        <v>3.67</v>
      </c>
    </row>
    <row r="79" spans="1:6">
      <c r="A79" t="s">
        <v>222</v>
      </c>
      <c r="B79" s="98">
        <v>43556</v>
      </c>
      <c r="C79" s="127">
        <v>16</v>
      </c>
      <c r="D79" s="127">
        <v>20</v>
      </c>
      <c r="E79" t="s">
        <v>223</v>
      </c>
      <c r="F79" s="128">
        <v>4.3230000000000004</v>
      </c>
    </row>
    <row r="80" spans="1:6">
      <c r="A80" t="s">
        <v>222</v>
      </c>
      <c r="B80" s="98">
        <v>43556</v>
      </c>
      <c r="C80" s="127">
        <v>17</v>
      </c>
      <c r="D80" s="127">
        <v>21</v>
      </c>
      <c r="E80" t="s">
        <v>223</v>
      </c>
      <c r="F80" s="128">
        <v>4.4160000000000004</v>
      </c>
    </row>
    <row r="81" spans="1:6">
      <c r="A81" t="s">
        <v>222</v>
      </c>
      <c r="B81" s="98">
        <v>43556</v>
      </c>
      <c r="C81" s="127">
        <v>18</v>
      </c>
      <c r="D81" s="127">
        <v>22</v>
      </c>
      <c r="E81" t="s">
        <v>223</v>
      </c>
      <c r="F81" s="128">
        <v>4.508</v>
      </c>
    </row>
    <row r="82" spans="1:6">
      <c r="A82" t="s">
        <v>222</v>
      </c>
      <c r="B82" s="98">
        <v>43556</v>
      </c>
      <c r="C82" s="127">
        <v>19</v>
      </c>
      <c r="D82" s="127">
        <v>23</v>
      </c>
      <c r="E82" t="s">
        <v>223</v>
      </c>
      <c r="F82" s="128">
        <v>4.5999999999999996</v>
      </c>
    </row>
    <row r="83" spans="1:6">
      <c r="A83" t="s">
        <v>222</v>
      </c>
      <c r="B83" s="98">
        <v>43556</v>
      </c>
      <c r="C83" s="127">
        <v>20</v>
      </c>
      <c r="D83" s="127">
        <v>24</v>
      </c>
      <c r="E83" t="s">
        <v>223</v>
      </c>
      <c r="F83" s="128">
        <v>4.9729999999999999</v>
      </c>
    </row>
    <row r="84" spans="1:6">
      <c r="A84" t="s">
        <v>222</v>
      </c>
      <c r="B84" s="98">
        <v>43556</v>
      </c>
      <c r="C84" s="127">
        <v>21</v>
      </c>
      <c r="D84" s="127">
        <v>25</v>
      </c>
      <c r="E84" t="s">
        <v>223</v>
      </c>
      <c r="F84" s="128">
        <v>5.6970000000000001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7"/>
  <dimension ref="A1:W101"/>
  <sheetViews>
    <sheetView topLeftCell="A22" workbookViewId="0">
      <selection activeCell="I43" sqref="I43:L43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4.1328125" style="42" customWidth="1"/>
    <col min="7" max="10" width="6.59765625" style="42" customWidth="1"/>
    <col min="11" max="11" width="8.59765625" style="42" bestFit="1" customWidth="1"/>
    <col min="12" max="12" width="6.59765625" style="42" customWidth="1"/>
    <col min="13" max="13" width="29.59765625" style="72" hidden="1" customWidth="1"/>
    <col min="14" max="14" width="6.59765625" style="77" hidden="1" customWidth="1"/>
    <col min="15" max="15" width="36.1328125" style="66" hidden="1" customWidth="1"/>
    <col min="16" max="21" width="0" style="66" hidden="1" customWidth="1"/>
    <col min="22" max="23" width="9.1328125" style="66" hidden="1" customWidth="1"/>
    <col min="24" max="16384" width="9.1328125" style="42"/>
  </cols>
  <sheetData>
    <row r="1" spans="1:21" ht="18">
      <c r="A1" s="57" t="s">
        <v>140</v>
      </c>
      <c r="B1" s="58"/>
      <c r="C1" s="58"/>
      <c r="D1" s="58"/>
      <c r="E1" s="58"/>
      <c r="F1" s="58"/>
      <c r="G1" s="58"/>
      <c r="H1" s="58"/>
      <c r="I1" s="59"/>
      <c r="J1" s="59"/>
      <c r="K1" s="59"/>
      <c r="L1" s="78"/>
    </row>
    <row r="2" spans="1:21">
      <c r="A2" s="61" t="s">
        <v>110</v>
      </c>
      <c r="B2" s="60"/>
      <c r="C2" s="60"/>
      <c r="D2" s="58"/>
      <c r="E2" s="58"/>
      <c r="F2" s="58" t="s">
        <v>80</v>
      </c>
      <c r="G2" s="58"/>
      <c r="H2" s="58"/>
      <c r="I2" s="58"/>
      <c r="J2" s="58"/>
      <c r="K2" s="58"/>
      <c r="L2" s="79"/>
      <c r="M2" s="77"/>
    </row>
    <row r="3" spans="1:21" ht="30" customHeight="1">
      <c r="A3" s="60" t="s">
        <v>137</v>
      </c>
      <c r="B3" s="62" t="s">
        <v>114</v>
      </c>
      <c r="C3" s="62" t="s">
        <v>138</v>
      </c>
      <c r="D3" s="60" t="s">
        <v>4</v>
      </c>
      <c r="E3" s="60" t="s">
        <v>5</v>
      </c>
      <c r="F3" s="60" t="s">
        <v>6</v>
      </c>
      <c r="G3" s="62" t="s">
        <v>7</v>
      </c>
      <c r="H3" s="62" t="s">
        <v>8</v>
      </c>
      <c r="I3" s="62" t="s">
        <v>9</v>
      </c>
      <c r="J3" s="62" t="s">
        <v>10</v>
      </c>
      <c r="K3" s="62" t="s">
        <v>11</v>
      </c>
      <c r="L3" s="80" t="s">
        <v>12</v>
      </c>
      <c r="M3" s="70"/>
      <c r="N3" s="70" t="s">
        <v>138</v>
      </c>
      <c r="O3" s="77" t="s">
        <v>4</v>
      </c>
    </row>
    <row r="4" spans="1:21" ht="18.75" customHeight="1">
      <c r="A4" s="63" t="s">
        <v>157</v>
      </c>
      <c r="B4" s="63" t="s">
        <v>115</v>
      </c>
      <c r="C4" s="60" t="s">
        <v>156</v>
      </c>
      <c r="D4" s="59" t="s">
        <v>84</v>
      </c>
      <c r="E4" s="60"/>
      <c r="F4" s="60" t="s">
        <v>17</v>
      </c>
      <c r="G4" s="64">
        <v>1636.233658579134</v>
      </c>
      <c r="H4" s="62"/>
      <c r="I4" s="62"/>
      <c r="J4" s="62"/>
      <c r="K4" s="62"/>
      <c r="L4" s="80"/>
      <c r="M4" s="70" t="s">
        <v>143</v>
      </c>
      <c r="N4" s="77" t="s">
        <v>156</v>
      </c>
      <c r="O4" s="66" t="s">
        <v>84</v>
      </c>
      <c r="P4" s="71">
        <f>G4/80</f>
        <v>20.452920732239175</v>
      </c>
      <c r="Q4" s="71"/>
      <c r="R4" s="71"/>
      <c r="S4" s="71"/>
      <c r="T4" s="71"/>
      <c r="U4" s="71"/>
    </row>
    <row r="5" spans="1:21" ht="18.75" customHeight="1">
      <c r="A5" s="63" t="s">
        <v>15</v>
      </c>
      <c r="B5" s="63" t="s">
        <v>115</v>
      </c>
      <c r="C5" s="63" t="s">
        <v>148</v>
      </c>
      <c r="D5" s="59" t="s">
        <v>16</v>
      </c>
      <c r="E5" s="59">
        <v>353</v>
      </c>
      <c r="F5" s="63" t="s">
        <v>17</v>
      </c>
      <c r="G5" s="64">
        <v>2337.4766551130488</v>
      </c>
      <c r="H5" s="64">
        <v>2430.9757213175703</v>
      </c>
      <c r="I5" s="64">
        <v>2528.2147501702734</v>
      </c>
      <c r="J5" s="64">
        <v>2629.3433401770844</v>
      </c>
      <c r="K5" s="64">
        <v>2734.5170737841681</v>
      </c>
      <c r="L5" s="81">
        <v>2843.897756735535</v>
      </c>
      <c r="M5" s="72" t="s">
        <v>144</v>
      </c>
      <c r="N5" s="72" t="s">
        <v>148</v>
      </c>
      <c r="O5" s="66" t="s">
        <v>16</v>
      </c>
      <c r="P5" s="71">
        <f>G5/109.2</f>
        <v>21.405463874661617</v>
      </c>
      <c r="Q5" s="71">
        <f t="shared" ref="Q5:U5" si="0">H5/109.2</f>
        <v>22.261682429648079</v>
      </c>
      <c r="R5" s="71">
        <f t="shared" si="0"/>
        <v>23.152149726834004</v>
      </c>
      <c r="S5" s="71">
        <f t="shared" si="0"/>
        <v>24.078235715907365</v>
      </c>
      <c r="T5" s="71">
        <f t="shared" si="0"/>
        <v>25.041365144543665</v>
      </c>
      <c r="U5" s="71">
        <f t="shared" si="0"/>
        <v>26.043019750325413</v>
      </c>
    </row>
    <row r="6" spans="1:21" ht="18.75" customHeight="1">
      <c r="A6" s="63" t="s">
        <v>19</v>
      </c>
      <c r="B6" s="63" t="s">
        <v>115</v>
      </c>
      <c r="C6" s="63" t="s">
        <v>149</v>
      </c>
      <c r="D6" s="59" t="s">
        <v>20</v>
      </c>
      <c r="E6" s="59">
        <v>353</v>
      </c>
      <c r="F6" s="63" t="s">
        <v>17</v>
      </c>
      <c r="G6" s="64">
        <v>2337.4766551130488</v>
      </c>
      <c r="H6" s="64">
        <v>2430.9757213175703</v>
      </c>
      <c r="I6" s="64">
        <v>2528.2147501702734</v>
      </c>
      <c r="J6" s="64">
        <v>2629.3433401770844</v>
      </c>
      <c r="K6" s="64">
        <v>2734.5170737841681</v>
      </c>
      <c r="L6" s="81">
        <v>2843.897756735535</v>
      </c>
      <c r="M6" s="72" t="s">
        <v>143</v>
      </c>
      <c r="N6" s="72" t="s">
        <v>149</v>
      </c>
      <c r="O6" s="66" t="s">
        <v>20</v>
      </c>
      <c r="P6" s="71">
        <f t="shared" ref="P6:U6" si="1">G6/80</f>
        <v>29.218458188913111</v>
      </c>
      <c r="Q6" s="71">
        <f t="shared" si="1"/>
        <v>30.387196516469629</v>
      </c>
      <c r="R6" s="71">
        <f t="shared" si="1"/>
        <v>31.602684377128419</v>
      </c>
      <c r="S6" s="71">
        <f t="shared" si="1"/>
        <v>32.866791752213558</v>
      </c>
      <c r="T6" s="71">
        <f t="shared" si="1"/>
        <v>34.181463422302102</v>
      </c>
      <c r="U6" s="71">
        <f t="shared" si="1"/>
        <v>35.548721959194189</v>
      </c>
    </row>
    <row r="7" spans="1:21" ht="18.75" customHeight="1">
      <c r="A7" s="63" t="s">
        <v>21</v>
      </c>
      <c r="B7" s="63" t="s">
        <v>115</v>
      </c>
      <c r="C7" s="63" t="s">
        <v>148</v>
      </c>
      <c r="D7" s="59" t="s">
        <v>22</v>
      </c>
      <c r="E7" s="59"/>
      <c r="F7" s="63" t="s">
        <v>17</v>
      </c>
      <c r="G7" s="64">
        <v>2337.4766551130488</v>
      </c>
      <c r="H7" s="64">
        <v>2430.9757213175703</v>
      </c>
      <c r="I7" s="64">
        <v>2528.2147501702734</v>
      </c>
      <c r="J7" s="64">
        <v>2629.3433401770844</v>
      </c>
      <c r="K7" s="64">
        <v>2734.5170737841681</v>
      </c>
      <c r="L7" s="81">
        <v>2843.897756735535</v>
      </c>
      <c r="M7" s="72" t="s">
        <v>144</v>
      </c>
      <c r="N7" s="72" t="s">
        <v>148</v>
      </c>
      <c r="O7" s="66" t="s">
        <v>22</v>
      </c>
      <c r="P7" s="71">
        <f t="shared" ref="P7:U8" si="2">G7/109.2</f>
        <v>21.405463874661617</v>
      </c>
      <c r="Q7" s="71">
        <f t="shared" si="2"/>
        <v>22.261682429648079</v>
      </c>
      <c r="R7" s="71">
        <f t="shared" si="2"/>
        <v>23.152149726834004</v>
      </c>
      <c r="S7" s="71">
        <f t="shared" si="2"/>
        <v>24.078235715907365</v>
      </c>
      <c r="T7" s="71">
        <f t="shared" si="2"/>
        <v>25.041365144543665</v>
      </c>
      <c r="U7" s="71">
        <f t="shared" si="2"/>
        <v>26.043019750325413</v>
      </c>
    </row>
    <row r="8" spans="1:21" ht="18.75" customHeight="1">
      <c r="A8" s="63" t="s">
        <v>23</v>
      </c>
      <c r="B8" s="63" t="s">
        <v>115</v>
      </c>
      <c r="C8" s="63" t="s">
        <v>150</v>
      </c>
      <c r="D8" s="59" t="s">
        <v>24</v>
      </c>
      <c r="E8" s="59"/>
      <c r="F8" s="63" t="s">
        <v>17</v>
      </c>
      <c r="G8" s="64">
        <v>2897.6071998367283</v>
      </c>
      <c r="H8" s="64">
        <v>3011.3914431161506</v>
      </c>
      <c r="I8" s="64">
        <v>3194.3546380353987</v>
      </c>
      <c r="J8" s="64"/>
      <c r="K8" s="64"/>
      <c r="L8" s="81"/>
      <c r="M8" s="72" t="s">
        <v>144</v>
      </c>
      <c r="N8" s="72" t="s">
        <v>150</v>
      </c>
      <c r="O8" s="66" t="s">
        <v>24</v>
      </c>
      <c r="P8" s="71">
        <f t="shared" si="2"/>
        <v>26.534864467369307</v>
      </c>
      <c r="Q8" s="71">
        <f t="shared" si="2"/>
        <v>27.576844717180865</v>
      </c>
      <c r="R8" s="71">
        <f t="shared" si="2"/>
        <v>29.252331850141012</v>
      </c>
      <c r="S8" s="71">
        <f t="shared" si="2"/>
        <v>0</v>
      </c>
      <c r="T8" s="71">
        <f t="shared" si="2"/>
        <v>0</v>
      </c>
      <c r="U8" s="71"/>
    </row>
    <row r="9" spans="1:21" ht="18.75" customHeight="1">
      <c r="A9" s="63" t="s">
        <v>77</v>
      </c>
      <c r="B9" s="63" t="s">
        <v>115</v>
      </c>
      <c r="C9" s="63" t="s">
        <v>151</v>
      </c>
      <c r="D9" s="59" t="s">
        <v>26</v>
      </c>
      <c r="E9" s="59"/>
      <c r="F9" s="63" t="s">
        <v>17</v>
      </c>
      <c r="G9" s="64">
        <v>2897.6071998367283</v>
      </c>
      <c r="H9" s="64">
        <v>3011.3914431161506</v>
      </c>
      <c r="I9" s="64">
        <v>3194.3546380353987</v>
      </c>
      <c r="J9" s="64"/>
      <c r="K9" s="64"/>
      <c r="L9" s="81"/>
      <c r="M9" s="72" t="s">
        <v>143</v>
      </c>
      <c r="N9" s="72" t="s">
        <v>151</v>
      </c>
      <c r="O9" s="66" t="s">
        <v>26</v>
      </c>
      <c r="P9" s="71">
        <f t="shared" ref="P9:R9" si="3">G9/80</f>
        <v>36.220089997959107</v>
      </c>
      <c r="Q9" s="71">
        <f t="shared" si="3"/>
        <v>37.64239303895188</v>
      </c>
      <c r="R9" s="71">
        <f t="shared" si="3"/>
        <v>39.929432975442481</v>
      </c>
      <c r="S9" s="71"/>
      <c r="T9" s="71"/>
      <c r="U9" s="71"/>
    </row>
    <row r="10" spans="1:21" ht="18.75" customHeight="1">
      <c r="A10" s="63" t="s">
        <v>27</v>
      </c>
      <c r="B10" s="63" t="s">
        <v>115</v>
      </c>
      <c r="C10" s="63" t="s">
        <v>150</v>
      </c>
      <c r="D10" s="59" t="s">
        <v>28</v>
      </c>
      <c r="E10" s="59"/>
      <c r="F10" s="63" t="s">
        <v>17</v>
      </c>
      <c r="G10" s="64">
        <v>2897.6071998367283</v>
      </c>
      <c r="H10" s="64">
        <v>3011.3914431161506</v>
      </c>
      <c r="I10" s="64">
        <v>3194.3546380353987</v>
      </c>
      <c r="J10" s="64"/>
      <c r="K10" s="64"/>
      <c r="L10" s="81"/>
      <c r="M10" s="72" t="s">
        <v>144</v>
      </c>
      <c r="N10" s="72" t="s">
        <v>150</v>
      </c>
      <c r="O10" s="66" t="s">
        <v>28</v>
      </c>
      <c r="P10" s="71">
        <f t="shared" ref="P10:R11" si="4">G10/109.2</f>
        <v>26.534864467369307</v>
      </c>
      <c r="Q10" s="71">
        <f t="shared" si="4"/>
        <v>27.576844717180865</v>
      </c>
      <c r="R10" s="71">
        <f t="shared" si="4"/>
        <v>29.252331850141012</v>
      </c>
      <c r="S10" s="71"/>
      <c r="T10" s="71"/>
      <c r="U10" s="71"/>
    </row>
    <row r="11" spans="1:21" ht="18.75" customHeight="1">
      <c r="A11" s="63" t="s">
        <v>29</v>
      </c>
      <c r="B11" s="63" t="s">
        <v>115</v>
      </c>
      <c r="C11" s="63" t="s">
        <v>152</v>
      </c>
      <c r="D11" s="59" t="s">
        <v>30</v>
      </c>
      <c r="E11" s="59"/>
      <c r="F11" s="63" t="s">
        <v>17</v>
      </c>
      <c r="G11" s="64">
        <v>3284.4736269867617</v>
      </c>
      <c r="H11" s="64">
        <v>3414.6933720732109</v>
      </c>
      <c r="I11" s="64">
        <v>3623.6966475983309</v>
      </c>
      <c r="J11" s="64"/>
      <c r="K11" s="64"/>
      <c r="L11" s="81"/>
      <c r="M11" s="72" t="s">
        <v>144</v>
      </c>
      <c r="N11" s="72" t="s">
        <v>152</v>
      </c>
      <c r="O11" s="66" t="s">
        <v>30</v>
      </c>
      <c r="P11" s="71">
        <f t="shared" si="4"/>
        <v>30.077597316728585</v>
      </c>
      <c r="Q11" s="71">
        <f t="shared" si="4"/>
        <v>31.270085824846252</v>
      </c>
      <c r="R11" s="71">
        <f t="shared" si="4"/>
        <v>33.184035234416946</v>
      </c>
      <c r="S11" s="71"/>
      <c r="T11" s="71"/>
      <c r="U11" s="71"/>
    </row>
    <row r="12" spans="1:21" ht="18.75" customHeight="1">
      <c r="A12" s="63" t="s">
        <v>31</v>
      </c>
      <c r="B12" s="63" t="s">
        <v>115</v>
      </c>
      <c r="C12" s="63" t="s">
        <v>153</v>
      </c>
      <c r="D12" s="59" t="s">
        <v>32</v>
      </c>
      <c r="E12" s="59"/>
      <c r="F12" s="63" t="s">
        <v>17</v>
      </c>
      <c r="G12" s="64">
        <v>3284.4736269867617</v>
      </c>
      <c r="H12" s="64">
        <v>3414.6933720732109</v>
      </c>
      <c r="I12" s="64">
        <v>3623.6966475983309</v>
      </c>
      <c r="J12" s="64"/>
      <c r="K12" s="64"/>
      <c r="L12" s="81"/>
      <c r="M12" s="72" t="s">
        <v>143</v>
      </c>
      <c r="N12" s="72" t="s">
        <v>153</v>
      </c>
      <c r="O12" s="66" t="s">
        <v>32</v>
      </c>
      <c r="P12" s="71">
        <f t="shared" ref="P12:R12" si="5">G12/80</f>
        <v>41.05592033733452</v>
      </c>
      <c r="Q12" s="71">
        <f t="shared" si="5"/>
        <v>42.683667150915134</v>
      </c>
      <c r="R12" s="71">
        <f t="shared" si="5"/>
        <v>45.296208094979136</v>
      </c>
      <c r="S12" s="71"/>
      <c r="T12" s="71"/>
      <c r="U12" s="71"/>
    </row>
    <row r="13" spans="1:21" ht="18.75" customHeight="1">
      <c r="A13" s="63" t="s">
        <v>33</v>
      </c>
      <c r="B13" s="63" t="s">
        <v>115</v>
      </c>
      <c r="C13" s="63" t="s">
        <v>152</v>
      </c>
      <c r="D13" s="59" t="s">
        <v>34</v>
      </c>
      <c r="E13" s="59"/>
      <c r="F13" s="63" t="s">
        <v>17</v>
      </c>
      <c r="G13" s="64">
        <v>3284.4736269867617</v>
      </c>
      <c r="H13" s="64">
        <v>3414.6933720732109</v>
      </c>
      <c r="I13" s="64">
        <v>3623.6966475983309</v>
      </c>
      <c r="J13" s="64"/>
      <c r="K13" s="64"/>
      <c r="L13" s="81"/>
      <c r="M13" s="72" t="s">
        <v>144</v>
      </c>
      <c r="N13" s="72" t="s">
        <v>152</v>
      </c>
      <c r="O13" s="66" t="s">
        <v>34</v>
      </c>
      <c r="P13" s="71">
        <f t="shared" ref="P13:R13" si="6">G13/109.2</f>
        <v>30.077597316728585</v>
      </c>
      <c r="Q13" s="71">
        <f t="shared" si="6"/>
        <v>31.270085824846252</v>
      </c>
      <c r="R13" s="71">
        <f t="shared" si="6"/>
        <v>33.184035234416946</v>
      </c>
      <c r="S13" s="71"/>
      <c r="T13" s="71"/>
      <c r="U13" s="71"/>
    </row>
    <row r="14" spans="1:21" ht="18.75" customHeight="1">
      <c r="A14" s="63" t="s">
        <v>35</v>
      </c>
      <c r="B14" s="63" t="s">
        <v>115</v>
      </c>
      <c r="C14" s="63" t="s">
        <v>153</v>
      </c>
      <c r="D14" s="59" t="s">
        <v>36</v>
      </c>
      <c r="E14" s="59"/>
      <c r="F14" s="63" t="s">
        <v>17</v>
      </c>
      <c r="G14" s="64">
        <v>3284.4736269867617</v>
      </c>
      <c r="H14" s="64">
        <v>3414.6933720732109</v>
      </c>
      <c r="I14" s="64">
        <v>3623.6966475983309</v>
      </c>
      <c r="J14" s="64"/>
      <c r="K14" s="64"/>
      <c r="L14" s="81"/>
      <c r="M14" s="72" t="s">
        <v>143</v>
      </c>
      <c r="N14" s="72" t="s">
        <v>153</v>
      </c>
      <c r="O14" s="66" t="s">
        <v>36</v>
      </c>
      <c r="P14" s="71">
        <f>G14/80</f>
        <v>41.05592033733452</v>
      </c>
      <c r="Q14" s="71">
        <f t="shared" ref="Q14:R14" si="7">H14/80</f>
        <v>42.683667150915134</v>
      </c>
      <c r="R14" s="71">
        <f t="shared" si="7"/>
        <v>45.296208094979136</v>
      </c>
      <c r="S14" s="71"/>
      <c r="T14" s="71"/>
      <c r="U14" s="71"/>
    </row>
    <row r="15" spans="1:21" ht="18.75" customHeight="1">
      <c r="A15" s="63" t="s">
        <v>37</v>
      </c>
      <c r="B15" s="63" t="s">
        <v>115</v>
      </c>
      <c r="C15" s="63" t="s">
        <v>152</v>
      </c>
      <c r="D15" s="59" t="s">
        <v>38</v>
      </c>
      <c r="E15" s="59"/>
      <c r="F15" s="63" t="s">
        <v>17</v>
      </c>
      <c r="G15" s="64">
        <v>3284.4736269867617</v>
      </c>
      <c r="H15" s="64">
        <v>3414.6933720732109</v>
      </c>
      <c r="I15" s="64">
        <v>3623.6966475983309</v>
      </c>
      <c r="J15" s="64"/>
      <c r="K15" s="64"/>
      <c r="L15" s="81"/>
      <c r="M15" s="72" t="s">
        <v>144</v>
      </c>
      <c r="N15" s="72" t="s">
        <v>152</v>
      </c>
      <c r="O15" s="66" t="s">
        <v>38</v>
      </c>
      <c r="P15" s="71">
        <f t="shared" ref="P15:T17" si="8">G15/80</f>
        <v>41.05592033733452</v>
      </c>
      <c r="Q15" s="71">
        <f t="shared" si="8"/>
        <v>42.683667150915134</v>
      </c>
      <c r="R15" s="71">
        <f t="shared" si="8"/>
        <v>45.296208094979136</v>
      </c>
      <c r="S15" s="71"/>
      <c r="T15" s="71"/>
      <c r="U15" s="71"/>
    </row>
    <row r="16" spans="1:21" ht="18.75" customHeight="1">
      <c r="A16" s="63" t="s">
        <v>41</v>
      </c>
      <c r="B16" s="63" t="s">
        <v>115</v>
      </c>
      <c r="C16" s="63" t="s">
        <v>154</v>
      </c>
      <c r="D16" s="65" t="s">
        <v>113</v>
      </c>
      <c r="E16" s="59"/>
      <c r="F16" s="63" t="s">
        <v>17</v>
      </c>
      <c r="G16" s="64">
        <v>3361.5940585428134</v>
      </c>
      <c r="H16" s="64">
        <v>3418.486180182525</v>
      </c>
      <c r="I16" s="64">
        <v>3476.6425711920069</v>
      </c>
      <c r="J16" s="64">
        <v>3534.7989622014898</v>
      </c>
      <c r="K16" s="64">
        <v>3750.4301323488353</v>
      </c>
      <c r="L16" s="81"/>
      <c r="M16" s="72" t="s">
        <v>144</v>
      </c>
      <c r="N16" s="72" t="s">
        <v>154</v>
      </c>
      <c r="O16" s="82" t="s">
        <v>113</v>
      </c>
      <c r="P16" s="71">
        <f>G16/109.2</f>
        <v>30.783828374934188</v>
      </c>
      <c r="Q16" s="71">
        <f t="shared" ref="Q16:T16" si="9">H16/109.2</f>
        <v>31.304818499839971</v>
      </c>
      <c r="R16" s="71">
        <f t="shared" si="9"/>
        <v>31.837386183076987</v>
      </c>
      <c r="S16" s="71">
        <f t="shared" si="9"/>
        <v>32.369953866314006</v>
      </c>
      <c r="T16" s="71">
        <f t="shared" si="9"/>
        <v>34.344598281582741</v>
      </c>
      <c r="U16" s="71"/>
    </row>
    <row r="17" spans="1:21" ht="18.75" customHeight="1">
      <c r="A17" s="63" t="s">
        <v>39</v>
      </c>
      <c r="B17" s="63" t="s">
        <v>115</v>
      </c>
      <c r="C17" s="63" t="s">
        <v>155</v>
      </c>
      <c r="D17" s="59" t="s">
        <v>42</v>
      </c>
      <c r="E17" s="58"/>
      <c r="F17" s="63" t="s">
        <v>17</v>
      </c>
      <c r="G17" s="64">
        <v>3361.5940585428134</v>
      </c>
      <c r="H17" s="64">
        <v>3418.486180182525</v>
      </c>
      <c r="I17" s="64">
        <v>3476.6425711920069</v>
      </c>
      <c r="J17" s="64">
        <v>3534.7989622014898</v>
      </c>
      <c r="K17" s="64">
        <v>3750.4301323488353</v>
      </c>
      <c r="L17" s="81"/>
      <c r="M17" s="72" t="s">
        <v>143</v>
      </c>
      <c r="N17" s="72" t="s">
        <v>155</v>
      </c>
      <c r="O17" s="66" t="s">
        <v>42</v>
      </c>
      <c r="P17" s="71">
        <f>G17/80</f>
        <v>42.019925731785165</v>
      </c>
      <c r="Q17" s="71">
        <f t="shared" si="8"/>
        <v>42.731077252281565</v>
      </c>
      <c r="R17" s="71">
        <f t="shared" si="8"/>
        <v>43.458032139900084</v>
      </c>
      <c r="S17" s="71">
        <f t="shared" si="8"/>
        <v>44.184987027518623</v>
      </c>
      <c r="T17" s="71">
        <f t="shared" si="8"/>
        <v>46.88037665436044</v>
      </c>
      <c r="U17" s="71"/>
    </row>
    <row r="18" spans="1:21" ht="27.75" customHeight="1">
      <c r="A18" s="42" t="s">
        <v>141</v>
      </c>
      <c r="C18" s="46"/>
      <c r="G18" s="46"/>
      <c r="H18" s="46"/>
      <c r="I18" s="46"/>
      <c r="J18" s="46"/>
      <c r="K18" s="46"/>
      <c r="L18" s="46"/>
    </row>
    <row r="19" spans="1:21">
      <c r="B19" s="49">
        <v>0.91817116502916352</v>
      </c>
      <c r="C19" s="50" t="s">
        <v>45</v>
      </c>
      <c r="G19" s="46"/>
      <c r="H19" s="46"/>
      <c r="I19" s="46"/>
      <c r="J19" s="46"/>
      <c r="K19" s="46"/>
      <c r="L19" s="46"/>
      <c r="R19" s="72"/>
    </row>
    <row r="20" spans="1:21">
      <c r="B20" s="49">
        <v>0.40089163543526862</v>
      </c>
      <c r="C20" s="50" t="s">
        <v>46</v>
      </c>
      <c r="G20" s="46"/>
      <c r="H20" s="46"/>
      <c r="I20" s="46"/>
      <c r="J20" s="46"/>
      <c r="K20" s="46"/>
      <c r="L20" s="46"/>
      <c r="R20" s="72"/>
    </row>
    <row r="21" spans="1:21" ht="17.25" customHeight="1">
      <c r="A21" s="42" t="s">
        <v>111</v>
      </c>
      <c r="C21" s="46"/>
      <c r="G21" s="46"/>
      <c r="H21" s="46"/>
      <c r="I21" s="46"/>
      <c r="J21" s="46"/>
      <c r="K21" s="46"/>
      <c r="L21" s="46"/>
    </row>
    <row r="22" spans="1:21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</row>
    <row r="23" spans="1:21" ht="27.75" customHeight="1">
      <c r="A23" s="41" t="s">
        <v>107</v>
      </c>
      <c r="C23" s="46"/>
      <c r="G23" s="46"/>
      <c r="H23" s="46"/>
      <c r="I23" s="46"/>
      <c r="J23" s="46"/>
      <c r="K23" s="46"/>
      <c r="L23" s="46"/>
    </row>
    <row r="24" spans="1:21" ht="17.25" customHeight="1">
      <c r="A24" s="50" t="s">
        <v>50</v>
      </c>
      <c r="C24" s="46"/>
      <c r="G24" s="46"/>
      <c r="H24" s="46"/>
      <c r="I24" s="46"/>
      <c r="J24" s="46"/>
      <c r="K24" s="46"/>
      <c r="L24" s="46"/>
    </row>
    <row r="25" spans="1:21" ht="17.25" customHeight="1">
      <c r="A25" s="42" t="s">
        <v>51</v>
      </c>
      <c r="C25" s="46"/>
      <c r="G25" s="46"/>
      <c r="H25" s="46"/>
      <c r="I25" s="46"/>
      <c r="J25" s="46"/>
      <c r="K25" s="46"/>
      <c r="L25" s="46"/>
    </row>
    <row r="26" spans="1:21" ht="17.25" customHeight="1">
      <c r="A26" s="50" t="s">
        <v>52</v>
      </c>
      <c r="B26" s="46"/>
      <c r="C26" s="46"/>
    </row>
    <row r="27" spans="1:21" ht="17.25" customHeight="1">
      <c r="A27" s="50"/>
      <c r="B27" s="46"/>
      <c r="C27" s="46"/>
    </row>
    <row r="28" spans="1:21" ht="27.75" customHeight="1">
      <c r="A28" s="41" t="s">
        <v>136</v>
      </c>
      <c r="B28" s="42" t="s">
        <v>139</v>
      </c>
    </row>
    <row r="29" spans="1:21" ht="17.25" customHeight="1">
      <c r="A29" s="49">
        <v>15.828753605573185</v>
      </c>
      <c r="B29" s="52" t="s">
        <v>135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83"/>
    </row>
    <row r="30" spans="1:21" ht="17.25" customHeight="1">
      <c r="A30" s="49">
        <v>22.449931584375044</v>
      </c>
      <c r="B30" s="52" t="s">
        <v>117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83"/>
      <c r="R30" s="75"/>
    </row>
    <row r="31" spans="1:21" ht="17.25" customHeight="1">
      <c r="A31" s="49">
        <v>29.071109563176897</v>
      </c>
      <c r="B31" s="52" t="s">
        <v>118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83"/>
      <c r="R31" s="75"/>
    </row>
    <row r="32" spans="1:21" ht="17.25" customHeight="1">
      <c r="A32" s="49">
        <v>35.692287541978757</v>
      </c>
      <c r="B32" s="52" t="s">
        <v>119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83"/>
      <c r="R32" s="75"/>
    </row>
    <row r="33" spans="1:18" ht="17.25" customHeight="1">
      <c r="A33" s="49">
        <v>42.313465520780611</v>
      </c>
      <c r="B33" s="52" t="s">
        <v>120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83"/>
      <c r="R33" s="75"/>
    </row>
    <row r="34" spans="1:18" ht="17.25" customHeight="1">
      <c r="A34" s="49">
        <v>127.88443170385067</v>
      </c>
      <c r="B34" s="52" t="s">
        <v>121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83"/>
      <c r="R34" s="75"/>
    </row>
    <row r="35" spans="1:18" ht="17.25" customHeight="1">
      <c r="A35" s="49">
        <v>135.07461716520584</v>
      </c>
      <c r="B35" s="52" t="s">
        <v>122</v>
      </c>
      <c r="R35" s="75"/>
    </row>
    <row r="36" spans="1:18" ht="17.25" customHeight="1">
      <c r="A36" s="49">
        <v>142.25187063832112</v>
      </c>
      <c r="B36" s="52" t="s">
        <v>123</v>
      </c>
      <c r="R36" s="75"/>
    </row>
    <row r="37" spans="1:18" ht="17.25" customHeight="1">
      <c r="A37" s="49">
        <v>186.06544679492401</v>
      </c>
      <c r="B37" s="52" t="s">
        <v>124</v>
      </c>
      <c r="R37" s="75"/>
    </row>
    <row r="38" spans="1:18" ht="17.25" customHeight="1">
      <c r="A38" s="49">
        <v>193.24270026803936</v>
      </c>
      <c r="B38" s="52" t="s">
        <v>125</v>
      </c>
      <c r="R38" s="75"/>
    </row>
    <row r="39" spans="1:18" ht="17.25" customHeight="1">
      <c r="A39" s="49">
        <v>200.43288572939448</v>
      </c>
      <c r="B39" s="52" t="s">
        <v>126</v>
      </c>
      <c r="R39" s="75"/>
    </row>
    <row r="40" spans="1:18" ht="17.25" customHeight="1">
      <c r="A40" s="49">
        <v>207.62307119074964</v>
      </c>
      <c r="B40" s="52" t="s">
        <v>127</v>
      </c>
      <c r="R40" s="75"/>
    </row>
    <row r="41" spans="1:18" ht="17.25" customHeight="1">
      <c r="A41" s="49">
        <v>228.00388465674902</v>
      </c>
      <c r="B41" s="52" t="s">
        <v>128</v>
      </c>
      <c r="R41" s="75"/>
    </row>
    <row r="42" spans="1:18" ht="17.25" customHeight="1">
      <c r="A42" s="49">
        <v>286.45647150085915</v>
      </c>
      <c r="B42" s="52" t="s">
        <v>129</v>
      </c>
      <c r="R42" s="75"/>
    </row>
    <row r="43" spans="1:18" ht="17.25" customHeight="1">
      <c r="A43" s="49">
        <v>293.64665696221425</v>
      </c>
      <c r="B43" s="52" t="s">
        <v>130</v>
      </c>
      <c r="K43" s="100"/>
      <c r="R43" s="75"/>
    </row>
    <row r="44" spans="1:18" ht="17.25" customHeight="1">
      <c r="A44" s="49">
        <v>300.83684242356941</v>
      </c>
      <c r="B44" s="52" t="s">
        <v>131</v>
      </c>
      <c r="R44" s="75"/>
    </row>
    <row r="45" spans="1:18" ht="17.25" customHeight="1">
      <c r="A45" s="49">
        <v>308.02702788492456</v>
      </c>
      <c r="B45" s="52" t="s">
        <v>132</v>
      </c>
      <c r="R45" s="75"/>
    </row>
    <row r="46" spans="1:18" ht="17.25" customHeight="1">
      <c r="A46" s="49">
        <v>315.21721334627983</v>
      </c>
      <c r="B46" s="52" t="s">
        <v>133</v>
      </c>
      <c r="R46" s="75"/>
    </row>
    <row r="47" spans="1:18" ht="17.25" customHeight="1">
      <c r="A47" s="49">
        <v>344.36591483889583</v>
      </c>
      <c r="B47" s="52" t="s">
        <v>134</v>
      </c>
      <c r="R47" s="75"/>
    </row>
    <row r="48" spans="1:18">
      <c r="A48" s="50"/>
      <c r="B48" s="52"/>
    </row>
    <row r="49" spans="1:15">
      <c r="A49" s="50"/>
      <c r="B49" s="46"/>
      <c r="C49" s="46"/>
    </row>
    <row r="50" spans="1:15">
      <c r="A50" s="50"/>
      <c r="B50" s="46"/>
      <c r="C50" s="46"/>
    </row>
    <row r="51" spans="1:15">
      <c r="A51" s="50"/>
      <c r="B51" s="46"/>
      <c r="C51" s="46"/>
    </row>
    <row r="52" spans="1:15">
      <c r="A52" s="50"/>
      <c r="B52" s="46"/>
      <c r="C52" s="46"/>
    </row>
    <row r="53" spans="1:15">
      <c r="A53" s="50"/>
      <c r="B53" s="46"/>
      <c r="C53" s="46"/>
    </row>
    <row r="54" spans="1:15">
      <c r="A54" s="43"/>
      <c r="B54" s="46"/>
      <c r="C54" s="46"/>
    </row>
    <row r="55" spans="1:15">
      <c r="A55" s="41"/>
      <c r="B55" s="44"/>
      <c r="C55" s="44"/>
      <c r="D55" s="41"/>
      <c r="E55" s="41"/>
      <c r="F55" s="41"/>
      <c r="G55" s="41"/>
      <c r="H55" s="41"/>
      <c r="I55" s="41"/>
      <c r="J55" s="41"/>
      <c r="K55" s="41"/>
      <c r="L55" s="41"/>
      <c r="M55" s="77"/>
    </row>
    <row r="56" spans="1:15">
      <c r="A56" s="44"/>
    </row>
    <row r="57" spans="1:15">
      <c r="A57" s="46"/>
      <c r="B57" s="44"/>
      <c r="C57" s="44"/>
      <c r="D57" s="44"/>
      <c r="E57" s="44"/>
      <c r="F57" s="44"/>
      <c r="G57" s="45"/>
      <c r="H57" s="45"/>
      <c r="I57" s="45"/>
      <c r="J57" s="45"/>
      <c r="K57" s="45"/>
      <c r="L57" s="45"/>
      <c r="M57" s="70"/>
      <c r="N57" s="70"/>
      <c r="O57" s="70"/>
    </row>
    <row r="58" spans="1:15">
      <c r="A58" s="46"/>
      <c r="B58" s="46"/>
      <c r="C58" s="46"/>
      <c r="F58" s="46"/>
      <c r="G58" s="46"/>
      <c r="H58" s="46"/>
      <c r="I58" s="46"/>
      <c r="J58" s="46"/>
      <c r="K58" s="46"/>
      <c r="L58" s="46"/>
    </row>
    <row r="59" spans="1:15">
      <c r="A59" s="46"/>
      <c r="B59" s="46"/>
      <c r="C59" s="46"/>
      <c r="F59" s="46"/>
      <c r="G59" s="46"/>
      <c r="H59" s="46"/>
      <c r="I59" s="46"/>
      <c r="J59" s="46"/>
      <c r="K59" s="46"/>
      <c r="L59" s="46"/>
    </row>
    <row r="60" spans="1:1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1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1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1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1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1"/>
      <c r="B68" s="46"/>
      <c r="C68" s="46"/>
      <c r="D68" s="48"/>
      <c r="F68" s="46"/>
      <c r="G68" s="46"/>
      <c r="H68" s="46"/>
      <c r="I68" s="46"/>
      <c r="J68" s="46"/>
      <c r="K68" s="46"/>
      <c r="L68" s="46"/>
    </row>
    <row r="69" spans="1:15">
      <c r="A69" s="41"/>
      <c r="B69" s="41"/>
      <c r="C69" s="46"/>
      <c r="E69" s="41"/>
      <c r="F69" s="41"/>
      <c r="G69" s="46"/>
      <c r="H69" s="46"/>
      <c r="I69" s="46"/>
      <c r="J69" s="46"/>
      <c r="K69" s="46"/>
      <c r="L69" s="46"/>
    </row>
    <row r="70" spans="1:1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77"/>
      <c r="O70" s="69"/>
    </row>
    <row r="71" spans="1:1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77"/>
      <c r="O71" s="69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77"/>
      <c r="O72" s="69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77"/>
      <c r="O73" s="69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77"/>
      <c r="O74" s="69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77"/>
      <c r="O75" s="69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77"/>
      <c r="O76" s="69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77"/>
      <c r="O77" s="69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77"/>
      <c r="O78" s="69"/>
    </row>
    <row r="79" spans="1:15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77"/>
      <c r="O79" s="69"/>
    </row>
    <row r="80" spans="1:15">
      <c r="A80" s="41"/>
      <c r="B80" s="52"/>
    </row>
    <row r="81" spans="1:14">
      <c r="A81" s="41"/>
    </row>
    <row r="82" spans="1:14">
      <c r="A82" s="51"/>
    </row>
    <row r="83" spans="1:14">
      <c r="A83" s="51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</row>
    <row r="84" spans="1:14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84"/>
    </row>
    <row r="85" spans="1:14">
      <c r="A85" s="51"/>
      <c r="B85" s="52"/>
      <c r="N85" s="84"/>
    </row>
    <row r="86" spans="1:14">
      <c r="A86" s="51"/>
      <c r="B86" s="52"/>
      <c r="N86" s="84"/>
    </row>
    <row r="87" spans="1:14">
      <c r="A87" s="51"/>
      <c r="B87" s="52"/>
      <c r="N87" s="84"/>
    </row>
    <row r="88" spans="1:14">
      <c r="A88" s="51"/>
      <c r="B88" s="52"/>
      <c r="N88" s="84"/>
    </row>
    <row r="89" spans="1:14">
      <c r="A89" s="51"/>
      <c r="B89" s="52"/>
      <c r="N89" s="84"/>
    </row>
    <row r="90" spans="1:14">
      <c r="A90" s="51"/>
      <c r="B90" s="52"/>
      <c r="N90" s="84"/>
    </row>
    <row r="91" spans="1:14">
      <c r="A91" s="51"/>
      <c r="B91" s="52"/>
      <c r="N91" s="84"/>
    </row>
    <row r="92" spans="1:14">
      <c r="A92" s="51"/>
      <c r="B92" s="52"/>
      <c r="N92" s="84"/>
    </row>
    <row r="93" spans="1:14">
      <c r="A93" s="51"/>
      <c r="B93" s="52"/>
      <c r="N93" s="84"/>
    </row>
    <row r="94" spans="1:14">
      <c r="A94" s="51"/>
      <c r="B94" s="52"/>
      <c r="N94" s="84"/>
    </row>
    <row r="95" spans="1:14">
      <c r="A95" s="51"/>
      <c r="B95" s="52"/>
      <c r="N95" s="84"/>
    </row>
    <row r="96" spans="1:14">
      <c r="A96" s="51"/>
      <c r="B96" s="52"/>
      <c r="N96" s="84"/>
    </row>
    <row r="97" spans="1:14">
      <c r="A97" s="51"/>
      <c r="B97" s="52"/>
      <c r="N97" s="84"/>
    </row>
    <row r="98" spans="1:14">
      <c r="B98" s="52"/>
      <c r="N98" s="84"/>
    </row>
    <row r="99" spans="1:14">
      <c r="B99" s="52"/>
      <c r="N99" s="84"/>
    </row>
    <row r="100" spans="1:14">
      <c r="B100" s="52"/>
    </row>
    <row r="101" spans="1:14">
      <c r="B101" s="52"/>
    </row>
  </sheetData>
  <mergeCells count="2">
    <mergeCell ref="B83:M83"/>
    <mergeCell ref="B84:M84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/>
  <dimension ref="A1:Z103"/>
  <sheetViews>
    <sheetView topLeftCell="A22" workbookViewId="0">
      <selection activeCell="J47" sqref="J47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4.1328125" style="42" customWidth="1"/>
    <col min="7" max="7" width="6.3984375" style="42" bestFit="1" customWidth="1"/>
    <col min="8" max="8" width="10.3984375" style="42" customWidth="1"/>
    <col min="9" max="9" width="8" style="42" bestFit="1" customWidth="1"/>
    <col min="10" max="10" width="9.59765625" style="42" customWidth="1"/>
    <col min="11" max="11" width="9.59765625" style="42" bestFit="1" customWidth="1"/>
    <col min="12" max="12" width="10.73046875" style="42" bestFit="1" customWidth="1"/>
    <col min="13" max="13" width="29.59765625" style="72" hidden="1" customWidth="1"/>
    <col min="14" max="14" width="6.59765625" style="77" hidden="1" customWidth="1"/>
    <col min="15" max="15" width="36.1328125" style="66" hidden="1" customWidth="1"/>
    <col min="16" max="21" width="0" style="66" hidden="1" customWidth="1"/>
    <col min="22" max="23" width="9.1328125" style="66" hidden="1" customWidth="1"/>
    <col min="24" max="24" width="10" style="42" bestFit="1" customWidth="1"/>
    <col min="25" max="16384" width="9.1328125" style="42"/>
  </cols>
  <sheetData>
    <row r="1" spans="1:21" ht="18">
      <c r="A1" s="57" t="s">
        <v>140</v>
      </c>
      <c r="B1" s="58"/>
      <c r="C1" s="58"/>
      <c r="D1" s="58"/>
      <c r="E1" s="58"/>
      <c r="F1" s="58"/>
      <c r="G1" s="58"/>
      <c r="H1" s="58"/>
      <c r="I1" s="59"/>
      <c r="J1" s="59"/>
      <c r="K1" s="59"/>
      <c r="L1" s="78"/>
    </row>
    <row r="2" spans="1:21" ht="25.5">
      <c r="A2" s="97" t="s">
        <v>159</v>
      </c>
      <c r="B2" s="60"/>
      <c r="C2" s="60"/>
      <c r="D2" s="58"/>
      <c r="E2" s="58"/>
      <c r="F2" s="58" t="s">
        <v>80</v>
      </c>
      <c r="G2" s="58"/>
      <c r="H2" s="58"/>
      <c r="I2" s="58"/>
      <c r="J2" s="58"/>
      <c r="K2" s="58"/>
      <c r="L2" s="79"/>
      <c r="M2" s="77"/>
    </row>
    <row r="3" spans="1:21" ht="30" customHeight="1">
      <c r="A3" s="60" t="s">
        <v>137</v>
      </c>
      <c r="B3" s="62" t="s">
        <v>114</v>
      </c>
      <c r="C3" s="62" t="s">
        <v>138</v>
      </c>
      <c r="D3" s="60" t="s">
        <v>4</v>
      </c>
      <c r="E3" s="60" t="s">
        <v>5</v>
      </c>
      <c r="F3" s="60" t="s">
        <v>6</v>
      </c>
      <c r="G3" s="62" t="s">
        <v>7</v>
      </c>
      <c r="H3" s="62" t="s">
        <v>8</v>
      </c>
      <c r="I3" s="62" t="s">
        <v>9</v>
      </c>
      <c r="J3" s="62" t="s">
        <v>10</v>
      </c>
      <c r="K3" s="62" t="s">
        <v>11</v>
      </c>
      <c r="L3" s="80" t="s">
        <v>12</v>
      </c>
      <c r="M3" s="70"/>
      <c r="N3" s="70" t="s">
        <v>138</v>
      </c>
      <c r="O3" s="77" t="s">
        <v>4</v>
      </c>
    </row>
    <row r="4" spans="1:21" ht="18.75" customHeight="1">
      <c r="A4" s="63" t="s">
        <v>157</v>
      </c>
      <c r="B4" s="63" t="s">
        <v>115</v>
      </c>
      <c r="C4" s="60" t="s">
        <v>156</v>
      </c>
      <c r="D4" s="59" t="s">
        <v>84</v>
      </c>
      <c r="E4" s="60"/>
      <c r="F4" s="63" t="s">
        <v>17</v>
      </c>
      <c r="G4" s="64">
        <v>1636.233658579134</v>
      </c>
      <c r="H4" s="62"/>
      <c r="I4" s="62"/>
      <c r="J4" s="62"/>
      <c r="K4" s="62"/>
      <c r="L4" s="80"/>
      <c r="M4" s="70" t="s">
        <v>143</v>
      </c>
      <c r="N4" s="77" t="s">
        <v>156</v>
      </c>
      <c r="O4" s="66" t="s">
        <v>84</v>
      </c>
      <c r="P4" s="71">
        <f>G4/80</f>
        <v>20.452920732239175</v>
      </c>
      <c r="Q4" s="71"/>
      <c r="R4" s="71"/>
      <c r="S4" s="71"/>
      <c r="T4" s="71"/>
      <c r="U4" s="71"/>
    </row>
    <row r="5" spans="1:21" ht="18.75" customHeight="1">
      <c r="A5" s="63" t="s">
        <v>15</v>
      </c>
      <c r="B5" s="63" t="s">
        <v>115</v>
      </c>
      <c r="C5" s="63" t="s">
        <v>148</v>
      </c>
      <c r="D5" s="59" t="s">
        <v>16</v>
      </c>
      <c r="E5" s="59">
        <v>353</v>
      </c>
      <c r="F5" s="63" t="s">
        <v>17</v>
      </c>
      <c r="G5" s="64">
        <v>2337.4766551130488</v>
      </c>
      <c r="H5" s="64">
        <v>2430.9757213175703</v>
      </c>
      <c r="I5" s="64">
        <v>2528.2147501702734</v>
      </c>
      <c r="J5" s="64">
        <v>2629.3433401770844</v>
      </c>
      <c r="K5" s="64">
        <v>2734.5170737841681</v>
      </c>
      <c r="L5" s="81">
        <v>2843.897756735535</v>
      </c>
      <c r="M5" s="72" t="s">
        <v>144</v>
      </c>
      <c r="N5" s="72" t="s">
        <v>148</v>
      </c>
      <c r="O5" s="66" t="s">
        <v>16</v>
      </c>
      <c r="P5" s="71">
        <f>G5/109.2</f>
        <v>21.405463874661617</v>
      </c>
      <c r="Q5" s="71">
        <f t="shared" ref="Q5:U5" si="0">H5/109.2</f>
        <v>22.261682429648079</v>
      </c>
      <c r="R5" s="71">
        <f t="shared" si="0"/>
        <v>23.152149726834004</v>
      </c>
      <c r="S5" s="71">
        <f t="shared" si="0"/>
        <v>24.078235715907365</v>
      </c>
      <c r="T5" s="71">
        <f t="shared" si="0"/>
        <v>25.041365144543665</v>
      </c>
      <c r="U5" s="71">
        <f t="shared" si="0"/>
        <v>26.043019750325413</v>
      </c>
    </row>
    <row r="6" spans="1:21" ht="18.75" customHeight="1">
      <c r="A6" s="63" t="s">
        <v>19</v>
      </c>
      <c r="B6" s="63" t="s">
        <v>115</v>
      </c>
      <c r="C6" s="63" t="s">
        <v>149</v>
      </c>
      <c r="D6" s="59" t="s">
        <v>20</v>
      </c>
      <c r="E6" s="59">
        <v>353</v>
      </c>
      <c r="F6" s="63" t="s">
        <v>17</v>
      </c>
      <c r="G6" s="64">
        <v>2337.4766551130488</v>
      </c>
      <c r="H6" s="64">
        <v>2430.9757213175703</v>
      </c>
      <c r="I6" s="64">
        <v>2528.2147501702734</v>
      </c>
      <c r="J6" s="64">
        <v>2629.3433401770844</v>
      </c>
      <c r="K6" s="64">
        <v>2734.5170737841681</v>
      </c>
      <c r="L6" s="81">
        <v>2843.897756735535</v>
      </c>
      <c r="M6" s="72" t="s">
        <v>143</v>
      </c>
      <c r="N6" s="72" t="s">
        <v>149</v>
      </c>
      <c r="O6" s="66" t="s">
        <v>20</v>
      </c>
      <c r="P6" s="71">
        <f t="shared" ref="P6:U6" si="1">G6/80</f>
        <v>29.218458188913111</v>
      </c>
      <c r="Q6" s="71">
        <f t="shared" si="1"/>
        <v>30.387196516469629</v>
      </c>
      <c r="R6" s="71">
        <f t="shared" si="1"/>
        <v>31.602684377128419</v>
      </c>
      <c r="S6" s="71">
        <f t="shared" si="1"/>
        <v>32.866791752213558</v>
      </c>
      <c r="T6" s="71">
        <f t="shared" si="1"/>
        <v>34.181463422302102</v>
      </c>
      <c r="U6" s="71">
        <f t="shared" si="1"/>
        <v>35.548721959194189</v>
      </c>
    </row>
    <row r="7" spans="1:21" ht="18.75" customHeight="1">
      <c r="A7" s="63" t="s">
        <v>21</v>
      </c>
      <c r="B7" s="63" t="s">
        <v>115</v>
      </c>
      <c r="C7" s="63" t="s">
        <v>148</v>
      </c>
      <c r="D7" s="59" t="s">
        <v>22</v>
      </c>
      <c r="E7" s="59"/>
      <c r="F7" s="63" t="s">
        <v>17</v>
      </c>
      <c r="G7" s="64">
        <v>2337.4766551130488</v>
      </c>
      <c r="H7" s="64">
        <v>2430.9757213175703</v>
      </c>
      <c r="I7" s="64">
        <v>2528.2147501702734</v>
      </c>
      <c r="J7" s="64">
        <v>2629.3433401770844</v>
      </c>
      <c r="K7" s="64">
        <v>2734.5170737841681</v>
      </c>
      <c r="L7" s="81">
        <v>2843.897756735535</v>
      </c>
      <c r="M7" s="72" t="s">
        <v>144</v>
      </c>
      <c r="N7" s="72" t="s">
        <v>148</v>
      </c>
      <c r="O7" s="66" t="s">
        <v>22</v>
      </c>
      <c r="P7" s="71">
        <f t="shared" ref="P7:U8" si="2">G7/109.2</f>
        <v>21.405463874661617</v>
      </c>
      <c r="Q7" s="71">
        <f t="shared" si="2"/>
        <v>22.261682429648079</v>
      </c>
      <c r="R7" s="71">
        <f t="shared" si="2"/>
        <v>23.152149726834004</v>
      </c>
      <c r="S7" s="71">
        <f t="shared" si="2"/>
        <v>24.078235715907365</v>
      </c>
      <c r="T7" s="71">
        <f t="shared" si="2"/>
        <v>25.041365144543665</v>
      </c>
      <c r="U7" s="71">
        <f t="shared" si="2"/>
        <v>26.043019750325413</v>
      </c>
    </row>
    <row r="8" spans="1:21" ht="18.75" customHeight="1">
      <c r="A8" s="63" t="s">
        <v>23</v>
      </c>
      <c r="B8" s="63" t="s">
        <v>115</v>
      </c>
      <c r="C8" s="63" t="s">
        <v>150</v>
      </c>
      <c r="D8" s="59" t="s">
        <v>24</v>
      </c>
      <c r="E8" s="59"/>
      <c r="F8" s="63" t="s">
        <v>17</v>
      </c>
      <c r="G8" s="64">
        <v>2897.6071998367283</v>
      </c>
      <c r="H8" s="64">
        <v>3011.3914431161506</v>
      </c>
      <c r="I8" s="64">
        <v>3194.3546380353987</v>
      </c>
      <c r="J8" s="64"/>
      <c r="K8" s="64"/>
      <c r="L8" s="81"/>
      <c r="M8" s="72" t="s">
        <v>144</v>
      </c>
      <c r="N8" s="72" t="s">
        <v>150</v>
      </c>
      <c r="O8" s="66" t="s">
        <v>24</v>
      </c>
      <c r="P8" s="71">
        <f t="shared" si="2"/>
        <v>26.534864467369307</v>
      </c>
      <c r="Q8" s="71">
        <f t="shared" si="2"/>
        <v>27.576844717180865</v>
      </c>
      <c r="R8" s="71">
        <f t="shared" si="2"/>
        <v>29.252331850141012</v>
      </c>
      <c r="S8" s="71">
        <f t="shared" si="2"/>
        <v>0</v>
      </c>
      <c r="T8" s="71">
        <f t="shared" si="2"/>
        <v>0</v>
      </c>
      <c r="U8" s="71"/>
    </row>
    <row r="9" spans="1:21" ht="18.75" customHeight="1">
      <c r="A9" s="63" t="s">
        <v>77</v>
      </c>
      <c r="B9" s="63" t="s">
        <v>115</v>
      </c>
      <c r="C9" s="63" t="s">
        <v>151</v>
      </c>
      <c r="D9" s="59" t="s">
        <v>26</v>
      </c>
      <c r="E9" s="59"/>
      <c r="F9" s="63" t="s">
        <v>17</v>
      </c>
      <c r="G9" s="64">
        <v>2897.6071998367283</v>
      </c>
      <c r="H9" s="64">
        <v>3011.3914431161506</v>
      </c>
      <c r="I9" s="64">
        <v>3194.3546380353987</v>
      </c>
      <c r="J9" s="64"/>
      <c r="K9" s="64"/>
      <c r="L9" s="81"/>
      <c r="M9" s="72" t="s">
        <v>143</v>
      </c>
      <c r="N9" s="72" t="s">
        <v>151</v>
      </c>
      <c r="O9" s="66" t="s">
        <v>26</v>
      </c>
      <c r="P9" s="71">
        <f t="shared" ref="P9:R9" si="3">G9/80</f>
        <v>36.220089997959107</v>
      </c>
      <c r="Q9" s="71">
        <f t="shared" si="3"/>
        <v>37.64239303895188</v>
      </c>
      <c r="R9" s="71">
        <f t="shared" si="3"/>
        <v>39.929432975442481</v>
      </c>
      <c r="S9" s="71"/>
      <c r="T9" s="71"/>
      <c r="U9" s="71"/>
    </row>
    <row r="10" spans="1:21" ht="18.75" customHeight="1">
      <c r="A10" s="63" t="s">
        <v>27</v>
      </c>
      <c r="B10" s="63" t="s">
        <v>115</v>
      </c>
      <c r="C10" s="63" t="s">
        <v>150</v>
      </c>
      <c r="D10" s="59" t="s">
        <v>28</v>
      </c>
      <c r="E10" s="59"/>
      <c r="F10" s="63" t="s">
        <v>17</v>
      </c>
      <c r="G10" s="64">
        <v>2897.6071998367283</v>
      </c>
      <c r="H10" s="64">
        <v>3011.3914431161506</v>
      </c>
      <c r="I10" s="64">
        <v>3194.3546380353987</v>
      </c>
      <c r="J10" s="64"/>
      <c r="K10" s="64"/>
      <c r="L10" s="81"/>
      <c r="M10" s="72" t="s">
        <v>144</v>
      </c>
      <c r="N10" s="72" t="s">
        <v>150</v>
      </c>
      <c r="O10" s="66" t="s">
        <v>28</v>
      </c>
      <c r="P10" s="71">
        <f t="shared" ref="P10:R11" si="4">G10/109.2</f>
        <v>26.534864467369307</v>
      </c>
      <c r="Q10" s="71">
        <f t="shared" si="4"/>
        <v>27.576844717180865</v>
      </c>
      <c r="R10" s="71">
        <f t="shared" si="4"/>
        <v>29.252331850141012</v>
      </c>
      <c r="S10" s="71"/>
      <c r="T10" s="71"/>
      <c r="U10" s="71"/>
    </row>
    <row r="11" spans="1:21" ht="18.75" customHeight="1">
      <c r="A11" s="63" t="s">
        <v>29</v>
      </c>
      <c r="B11" s="63" t="s">
        <v>115</v>
      </c>
      <c r="C11" s="63" t="s">
        <v>152</v>
      </c>
      <c r="D11" s="59" t="s">
        <v>30</v>
      </c>
      <c r="E11" s="59"/>
      <c r="F11" s="63" t="s">
        <v>17</v>
      </c>
      <c r="G11" s="64">
        <v>3284.4736269867617</v>
      </c>
      <c r="H11" s="64">
        <v>3414.6933720732109</v>
      </c>
      <c r="I11" s="64">
        <v>3623.6966475983309</v>
      </c>
      <c r="J11" s="64"/>
      <c r="K11" s="64"/>
      <c r="L11" s="81"/>
      <c r="M11" s="72" t="s">
        <v>144</v>
      </c>
      <c r="N11" s="72" t="s">
        <v>152</v>
      </c>
      <c r="O11" s="66" t="s">
        <v>30</v>
      </c>
      <c r="P11" s="71">
        <f t="shared" si="4"/>
        <v>30.077597316728585</v>
      </c>
      <c r="Q11" s="71">
        <f t="shared" si="4"/>
        <v>31.270085824846252</v>
      </c>
      <c r="R11" s="71">
        <f t="shared" si="4"/>
        <v>33.184035234416946</v>
      </c>
      <c r="S11" s="71"/>
      <c r="T11" s="71"/>
      <c r="U11" s="71"/>
    </row>
    <row r="12" spans="1:21" ht="18.75" customHeight="1">
      <c r="A12" s="63" t="s">
        <v>31</v>
      </c>
      <c r="B12" s="63" t="s">
        <v>115</v>
      </c>
      <c r="C12" s="63" t="s">
        <v>153</v>
      </c>
      <c r="D12" s="59" t="s">
        <v>32</v>
      </c>
      <c r="E12" s="59"/>
      <c r="F12" s="63" t="s">
        <v>17</v>
      </c>
      <c r="G12" s="64">
        <v>3284.4736269867617</v>
      </c>
      <c r="H12" s="64">
        <v>3414.6933720732109</v>
      </c>
      <c r="I12" s="64">
        <v>3623.6966475983309</v>
      </c>
      <c r="J12" s="64"/>
      <c r="K12" s="64"/>
      <c r="L12" s="81"/>
      <c r="M12" s="72" t="s">
        <v>143</v>
      </c>
      <c r="N12" s="72" t="s">
        <v>153</v>
      </c>
      <c r="O12" s="66" t="s">
        <v>32</v>
      </c>
      <c r="P12" s="71">
        <f t="shared" ref="P12:R12" si="5">G12/80</f>
        <v>41.05592033733452</v>
      </c>
      <c r="Q12" s="71">
        <f t="shared" si="5"/>
        <v>42.683667150915134</v>
      </c>
      <c r="R12" s="71">
        <f t="shared" si="5"/>
        <v>45.296208094979136</v>
      </c>
      <c r="S12" s="71"/>
      <c r="T12" s="71"/>
      <c r="U12" s="71"/>
    </row>
    <row r="13" spans="1:21" ht="18.75" customHeight="1">
      <c r="A13" s="63" t="s">
        <v>33</v>
      </c>
      <c r="B13" s="63" t="s">
        <v>115</v>
      </c>
      <c r="C13" s="63" t="s">
        <v>152</v>
      </c>
      <c r="D13" s="59" t="s">
        <v>34</v>
      </c>
      <c r="E13" s="59"/>
      <c r="F13" s="63" t="s">
        <v>17</v>
      </c>
      <c r="G13" s="64">
        <v>3284.4736269867617</v>
      </c>
      <c r="H13" s="64">
        <v>3414.6933720732109</v>
      </c>
      <c r="I13" s="64">
        <v>3623.6966475983309</v>
      </c>
      <c r="J13" s="64"/>
      <c r="K13" s="64"/>
      <c r="L13" s="81"/>
      <c r="M13" s="72" t="s">
        <v>144</v>
      </c>
      <c r="N13" s="72" t="s">
        <v>152</v>
      </c>
      <c r="O13" s="66" t="s">
        <v>34</v>
      </c>
      <c r="P13" s="71">
        <f t="shared" ref="P13:R13" si="6">G13/109.2</f>
        <v>30.077597316728585</v>
      </c>
      <c r="Q13" s="71">
        <f t="shared" si="6"/>
        <v>31.270085824846252</v>
      </c>
      <c r="R13" s="71">
        <f t="shared" si="6"/>
        <v>33.184035234416946</v>
      </c>
      <c r="S13" s="71"/>
      <c r="T13" s="71"/>
      <c r="U13" s="71"/>
    </row>
    <row r="14" spans="1:21" ht="18.75" customHeight="1">
      <c r="A14" s="63" t="s">
        <v>35</v>
      </c>
      <c r="B14" s="63" t="s">
        <v>115</v>
      </c>
      <c r="C14" s="63" t="s">
        <v>153</v>
      </c>
      <c r="D14" s="59" t="s">
        <v>36</v>
      </c>
      <c r="E14" s="59"/>
      <c r="F14" s="63" t="s">
        <v>17</v>
      </c>
      <c r="G14" s="64">
        <v>3284.4736269867617</v>
      </c>
      <c r="H14" s="64">
        <v>3414.6933720732109</v>
      </c>
      <c r="I14" s="64">
        <v>3623.6966475983309</v>
      </c>
      <c r="J14" s="64"/>
      <c r="K14" s="64"/>
      <c r="L14" s="81"/>
      <c r="M14" s="72" t="s">
        <v>143</v>
      </c>
      <c r="N14" s="72" t="s">
        <v>153</v>
      </c>
      <c r="O14" s="66" t="s">
        <v>36</v>
      </c>
      <c r="P14" s="71">
        <f>G14/80</f>
        <v>41.05592033733452</v>
      </c>
      <c r="Q14" s="71">
        <f t="shared" ref="Q14:R14" si="7">H14/80</f>
        <v>42.683667150915134</v>
      </c>
      <c r="R14" s="71">
        <f t="shared" si="7"/>
        <v>45.296208094979136</v>
      </c>
      <c r="S14" s="71"/>
      <c r="T14" s="71"/>
      <c r="U14" s="71"/>
    </row>
    <row r="15" spans="1:21" ht="18.75" customHeight="1">
      <c r="A15" s="63" t="s">
        <v>37</v>
      </c>
      <c r="B15" s="63" t="s">
        <v>115</v>
      </c>
      <c r="C15" s="63" t="s">
        <v>152</v>
      </c>
      <c r="D15" s="59" t="s">
        <v>38</v>
      </c>
      <c r="E15" s="59"/>
      <c r="F15" s="63" t="s">
        <v>17</v>
      </c>
      <c r="G15" s="64">
        <v>3284.4736269867617</v>
      </c>
      <c r="H15" s="64">
        <v>3414.6933720732109</v>
      </c>
      <c r="I15" s="64">
        <v>3623.6966475983309</v>
      </c>
      <c r="J15" s="64"/>
      <c r="K15" s="64"/>
      <c r="L15" s="81"/>
      <c r="M15" s="72" t="s">
        <v>144</v>
      </c>
      <c r="N15" s="72" t="s">
        <v>152</v>
      </c>
      <c r="O15" s="66" t="s">
        <v>38</v>
      </c>
      <c r="P15" s="71">
        <f t="shared" ref="P15:T17" si="8">G15/80</f>
        <v>41.05592033733452</v>
      </c>
      <c r="Q15" s="71">
        <f t="shared" si="8"/>
        <v>42.683667150915134</v>
      </c>
      <c r="R15" s="71">
        <f t="shared" si="8"/>
        <v>45.296208094979136</v>
      </c>
      <c r="S15" s="71"/>
      <c r="T15" s="71"/>
      <c r="U15" s="71"/>
    </row>
    <row r="16" spans="1:21" ht="18.75" customHeight="1">
      <c r="A16" s="63" t="s">
        <v>41</v>
      </c>
      <c r="B16" s="63" t="s">
        <v>115</v>
      </c>
      <c r="C16" s="63" t="s">
        <v>154</v>
      </c>
      <c r="D16" s="65" t="s">
        <v>113</v>
      </c>
      <c r="E16" s="59"/>
      <c r="F16" s="63" t="s">
        <v>17</v>
      </c>
      <c r="G16" s="64">
        <v>3361.5940585428134</v>
      </c>
      <c r="H16" s="64">
        <v>3418.486180182525</v>
      </c>
      <c r="I16" s="64">
        <v>3476.6425711920069</v>
      </c>
      <c r="J16" s="64">
        <v>3534.7989622014898</v>
      </c>
      <c r="K16" s="64">
        <v>3750.4301323488353</v>
      </c>
      <c r="L16" s="81"/>
      <c r="M16" s="72" t="s">
        <v>144</v>
      </c>
      <c r="N16" s="72" t="s">
        <v>154</v>
      </c>
      <c r="O16" s="82" t="s">
        <v>113</v>
      </c>
      <c r="P16" s="71">
        <f>G16/109.2</f>
        <v>30.783828374934188</v>
      </c>
      <c r="Q16" s="71">
        <f t="shared" ref="Q16:T16" si="9">H16/109.2</f>
        <v>31.304818499839971</v>
      </c>
      <c r="R16" s="71">
        <f t="shared" si="9"/>
        <v>31.837386183076987</v>
      </c>
      <c r="S16" s="71">
        <f t="shared" si="9"/>
        <v>32.369953866314006</v>
      </c>
      <c r="T16" s="71">
        <f t="shared" si="9"/>
        <v>34.344598281582741</v>
      </c>
      <c r="U16" s="71"/>
    </row>
    <row r="17" spans="1:21" ht="18.75" customHeight="1">
      <c r="A17" s="63" t="s">
        <v>39</v>
      </c>
      <c r="B17" s="63" t="s">
        <v>115</v>
      </c>
      <c r="C17" s="63" t="s">
        <v>155</v>
      </c>
      <c r="D17" s="59" t="s">
        <v>42</v>
      </c>
      <c r="E17" s="58"/>
      <c r="F17" s="63" t="s">
        <v>17</v>
      </c>
      <c r="G17" s="64">
        <v>3361.5940585428134</v>
      </c>
      <c r="H17" s="64">
        <v>3418.486180182525</v>
      </c>
      <c r="I17" s="64">
        <v>3476.6425711920069</v>
      </c>
      <c r="J17" s="64">
        <v>3534.7989622014898</v>
      </c>
      <c r="K17" s="64">
        <v>3750.4301323488353</v>
      </c>
      <c r="L17" s="81"/>
      <c r="M17" s="72" t="s">
        <v>143</v>
      </c>
      <c r="N17" s="72" t="s">
        <v>155</v>
      </c>
      <c r="O17" s="66" t="s">
        <v>42</v>
      </c>
      <c r="P17" s="71">
        <f>G17/80</f>
        <v>42.019925731785165</v>
      </c>
      <c r="Q17" s="71">
        <f t="shared" si="8"/>
        <v>42.731077252281565</v>
      </c>
      <c r="R17" s="71">
        <f t="shared" si="8"/>
        <v>43.458032139900084</v>
      </c>
      <c r="S17" s="71">
        <f t="shared" si="8"/>
        <v>44.184987027518623</v>
      </c>
      <c r="T17" s="71">
        <f t="shared" si="8"/>
        <v>46.88037665436044</v>
      </c>
      <c r="U17" s="71"/>
    </row>
    <row r="18" spans="1:21" ht="27.75" customHeight="1">
      <c r="A18" s="42" t="s">
        <v>141</v>
      </c>
      <c r="C18" s="46"/>
      <c r="G18" s="46"/>
      <c r="H18" s="46"/>
      <c r="I18" s="46"/>
      <c r="J18" s="46"/>
      <c r="K18" s="46"/>
      <c r="L18" s="46"/>
    </row>
    <row r="19" spans="1:21">
      <c r="B19" s="49">
        <v>0.91817116502916352</v>
      </c>
      <c r="C19" s="50" t="s">
        <v>45</v>
      </c>
      <c r="G19" s="46"/>
      <c r="H19" s="46"/>
      <c r="I19" s="46"/>
      <c r="J19" s="46"/>
      <c r="K19" s="46"/>
      <c r="L19" s="46"/>
      <c r="R19" s="72"/>
    </row>
    <row r="20" spans="1:21">
      <c r="B20" s="49">
        <v>0.40089163543526862</v>
      </c>
      <c r="C20" s="50" t="s">
        <v>46</v>
      </c>
      <c r="G20" s="46"/>
      <c r="H20" s="46"/>
      <c r="I20" s="46"/>
      <c r="J20" s="46"/>
      <c r="K20" s="46"/>
      <c r="L20" s="46"/>
      <c r="R20" s="72"/>
    </row>
    <row r="21" spans="1:21" ht="17.25" customHeight="1">
      <c r="A21" s="42" t="s">
        <v>111</v>
      </c>
      <c r="C21" s="46"/>
      <c r="G21" s="46"/>
      <c r="H21" s="46"/>
      <c r="I21" s="46"/>
      <c r="J21" s="46"/>
      <c r="K21" s="46"/>
      <c r="L21" s="46"/>
    </row>
    <row r="22" spans="1:21" ht="17.25" customHeight="1">
      <c r="A22" s="42" t="s">
        <v>112</v>
      </c>
      <c r="B22" s="50"/>
      <c r="C22" s="46"/>
      <c r="G22" s="46"/>
      <c r="H22" s="46"/>
      <c r="I22" s="46"/>
      <c r="J22" s="46"/>
      <c r="K22" s="46"/>
      <c r="L22" s="46"/>
    </row>
    <row r="23" spans="1:21" ht="27.75" customHeight="1">
      <c r="A23" s="41" t="s">
        <v>107</v>
      </c>
      <c r="C23" s="46"/>
      <c r="G23" s="46"/>
      <c r="H23" s="46"/>
      <c r="I23" s="46"/>
      <c r="J23" s="46"/>
      <c r="K23" s="46"/>
      <c r="L23" s="46"/>
    </row>
    <row r="24" spans="1:21" ht="17.25" customHeight="1">
      <c r="A24" s="50" t="s">
        <v>50</v>
      </c>
      <c r="C24" s="46"/>
      <c r="G24" s="46"/>
      <c r="H24" s="46"/>
      <c r="I24" s="46"/>
      <c r="J24" s="46"/>
      <c r="K24" s="46"/>
      <c r="L24" s="46"/>
    </row>
    <row r="25" spans="1:21" ht="17.25" customHeight="1">
      <c r="A25" s="42" t="s">
        <v>51</v>
      </c>
      <c r="C25" s="46"/>
      <c r="G25" s="46"/>
      <c r="H25" s="46"/>
      <c r="I25" s="46"/>
      <c r="J25" s="46"/>
      <c r="K25" s="46"/>
      <c r="L25" s="46"/>
    </row>
    <row r="26" spans="1:21" ht="17.25" customHeight="1">
      <c r="A26" s="50" t="s">
        <v>52</v>
      </c>
      <c r="B26" s="46"/>
      <c r="C26" s="46"/>
    </row>
    <row r="27" spans="1:21" ht="17.25" customHeight="1">
      <c r="A27" s="50"/>
      <c r="B27" s="46"/>
      <c r="C27" s="46"/>
    </row>
    <row r="28" spans="1:21" ht="27.75" customHeight="1">
      <c r="A28" s="41" t="s">
        <v>136</v>
      </c>
      <c r="B28" s="42" t="s">
        <v>139</v>
      </c>
    </row>
    <row r="29" spans="1:21" ht="17.25" customHeight="1">
      <c r="A29" s="49">
        <v>15.828753605573185</v>
      </c>
      <c r="B29" s="52" t="s">
        <v>135</v>
      </c>
      <c r="C29" s="52"/>
      <c r="D29" s="52"/>
      <c r="E29" s="52"/>
      <c r="F29" s="52"/>
      <c r="G29" s="52"/>
      <c r="H29" s="52"/>
      <c r="I29" s="102">
        <f>ROUND(A29/80,3)</f>
        <v>0.19800000000000001</v>
      </c>
      <c r="J29" s="52"/>
      <c r="K29" s="52"/>
      <c r="L29" s="52"/>
      <c r="M29" s="83"/>
    </row>
    <row r="30" spans="1:21" ht="17.25" customHeight="1">
      <c r="A30" s="49">
        <v>22.449931584375044</v>
      </c>
      <c r="B30" s="52" t="s">
        <v>117</v>
      </c>
      <c r="C30" s="52"/>
      <c r="D30" s="52"/>
      <c r="E30" s="52"/>
      <c r="F30" s="52"/>
      <c r="G30" s="52"/>
      <c r="H30" s="52"/>
      <c r="I30" s="102">
        <f t="shared" ref="I30:I47" si="10">ROUND(A30/80,3)</f>
        <v>0.28100000000000003</v>
      </c>
      <c r="J30" s="52"/>
      <c r="K30" s="52"/>
      <c r="L30" s="52"/>
      <c r="M30" s="83"/>
      <c r="R30" s="75"/>
    </row>
    <row r="31" spans="1:21" ht="17.25" customHeight="1">
      <c r="A31" s="49">
        <v>29.071109563176897</v>
      </c>
      <c r="B31" s="52" t="s">
        <v>118</v>
      </c>
      <c r="C31" s="53"/>
      <c r="D31" s="53"/>
      <c r="E31" s="53"/>
      <c r="F31" s="53"/>
      <c r="G31" s="53"/>
      <c r="H31" s="53"/>
      <c r="I31" s="102">
        <f t="shared" si="10"/>
        <v>0.36299999999999999</v>
      </c>
      <c r="J31" s="53"/>
      <c r="K31" s="53"/>
      <c r="L31" s="53"/>
      <c r="M31" s="83"/>
      <c r="R31" s="75"/>
    </row>
    <row r="32" spans="1:21" ht="17.25" customHeight="1">
      <c r="A32" s="49">
        <v>35.692287541978757</v>
      </c>
      <c r="B32" s="52" t="s">
        <v>119</v>
      </c>
      <c r="C32" s="53"/>
      <c r="D32" s="53"/>
      <c r="E32" s="53"/>
      <c r="F32" s="53"/>
      <c r="G32" s="53"/>
      <c r="H32" s="53"/>
      <c r="I32" s="102">
        <f t="shared" si="10"/>
        <v>0.44600000000000001</v>
      </c>
      <c r="J32" s="53"/>
      <c r="K32" s="53"/>
      <c r="L32" s="53"/>
      <c r="M32" s="83"/>
      <c r="R32" s="75"/>
    </row>
    <row r="33" spans="1:26" ht="17.25" customHeight="1">
      <c r="A33" s="49">
        <v>42.313465520780611</v>
      </c>
      <c r="B33" s="52" t="s">
        <v>120</v>
      </c>
      <c r="C33" s="53"/>
      <c r="D33" s="53"/>
      <c r="E33" s="53"/>
      <c r="F33" s="53"/>
      <c r="G33" s="53"/>
      <c r="H33" s="53"/>
      <c r="I33" s="102">
        <f t="shared" si="10"/>
        <v>0.52900000000000003</v>
      </c>
      <c r="J33" s="53"/>
      <c r="K33" s="53"/>
      <c r="L33" s="53"/>
      <c r="M33" s="83"/>
      <c r="R33" s="75"/>
    </row>
    <row r="34" spans="1:26" ht="17.25" customHeight="1">
      <c r="A34" s="49">
        <v>127.88443170385067</v>
      </c>
      <c r="B34" s="52" t="s">
        <v>121</v>
      </c>
      <c r="C34" s="53"/>
      <c r="D34" s="53"/>
      <c r="E34" s="53"/>
      <c r="F34" s="53"/>
      <c r="G34" s="53"/>
      <c r="H34" s="53"/>
      <c r="I34" s="102">
        <f t="shared" si="10"/>
        <v>1.599</v>
      </c>
      <c r="J34" s="53"/>
      <c r="K34" s="53"/>
      <c r="L34" s="53"/>
      <c r="M34" s="83"/>
      <c r="R34" s="75"/>
    </row>
    <row r="35" spans="1:26" ht="17.25" customHeight="1">
      <c r="A35" s="49">
        <v>135.07461716520584</v>
      </c>
      <c r="B35" s="52" t="s">
        <v>122</v>
      </c>
      <c r="I35" s="102">
        <f t="shared" si="10"/>
        <v>1.6879999999999999</v>
      </c>
      <c r="R35" s="75"/>
    </row>
    <row r="36" spans="1:26" ht="17.25" customHeight="1">
      <c r="A36" s="49">
        <v>142.25187063832112</v>
      </c>
      <c r="B36" s="52" t="s">
        <v>123</v>
      </c>
      <c r="I36" s="102">
        <f t="shared" si="10"/>
        <v>1.778</v>
      </c>
      <c r="R36" s="75"/>
    </row>
    <row r="37" spans="1:26" ht="17.25" customHeight="1">
      <c r="A37" s="49">
        <v>186.06544679492401</v>
      </c>
      <c r="B37" s="52" t="s">
        <v>124</v>
      </c>
      <c r="I37" s="102">
        <f t="shared" si="10"/>
        <v>2.3260000000000001</v>
      </c>
      <c r="R37" s="75"/>
    </row>
    <row r="38" spans="1:26" ht="17.25" customHeight="1">
      <c r="A38" s="49">
        <v>193.24270026803936</v>
      </c>
      <c r="B38" s="52" t="s">
        <v>125</v>
      </c>
      <c r="I38" s="102">
        <f t="shared" si="10"/>
        <v>2.4159999999999999</v>
      </c>
      <c r="R38" s="75"/>
    </row>
    <row r="39" spans="1:26" ht="17.25" customHeight="1">
      <c r="A39" s="49">
        <v>200.43288572939448</v>
      </c>
      <c r="B39" s="52" t="s">
        <v>126</v>
      </c>
      <c r="I39" s="102">
        <f t="shared" si="10"/>
        <v>2.5049999999999999</v>
      </c>
      <c r="R39" s="75"/>
    </row>
    <row r="40" spans="1:26" ht="17.25" customHeight="1">
      <c r="A40" s="49">
        <v>207.62307119074964</v>
      </c>
      <c r="B40" s="52" t="s">
        <v>127</v>
      </c>
      <c r="I40" s="102">
        <f t="shared" si="10"/>
        <v>2.5950000000000002</v>
      </c>
      <c r="R40" s="75"/>
    </row>
    <row r="41" spans="1:26" ht="17.25" customHeight="1">
      <c r="A41" s="49">
        <v>228.00388465674902</v>
      </c>
      <c r="B41" s="52" t="s">
        <v>128</v>
      </c>
      <c r="I41" s="102">
        <f t="shared" si="10"/>
        <v>2.85</v>
      </c>
      <c r="R41" s="75"/>
    </row>
    <row r="42" spans="1:26" ht="17.25" customHeight="1">
      <c r="A42" s="49">
        <v>286.45647150085915</v>
      </c>
      <c r="B42" s="52" t="s">
        <v>129</v>
      </c>
      <c r="H42" s="107"/>
      <c r="I42" s="102">
        <f t="shared" si="10"/>
        <v>3.581</v>
      </c>
      <c r="J42" s="107"/>
      <c r="K42" s="111"/>
      <c r="L42" s="112"/>
      <c r="M42" s="106"/>
      <c r="N42" s="106"/>
      <c r="O42" s="106"/>
      <c r="P42" s="106"/>
      <c r="Q42" s="106"/>
      <c r="R42" s="110"/>
      <c r="S42" s="106"/>
      <c r="T42" s="106"/>
      <c r="U42" s="106"/>
      <c r="V42" s="106"/>
      <c r="W42" s="106"/>
      <c r="X42" s="109"/>
      <c r="Y42" s="109"/>
    </row>
    <row r="43" spans="1:26" ht="17.25" customHeight="1">
      <c r="A43" s="49">
        <v>293.64665696221425</v>
      </c>
      <c r="B43" s="52" t="s">
        <v>130</v>
      </c>
      <c r="H43" s="49"/>
      <c r="I43" s="102">
        <f t="shared" si="10"/>
        <v>3.6709999999999998</v>
      </c>
      <c r="J43" s="49"/>
      <c r="K43" s="113"/>
      <c r="L43" s="114"/>
      <c r="O43" s="72"/>
      <c r="P43" s="72"/>
      <c r="Q43" s="72"/>
      <c r="R43" s="104"/>
      <c r="S43" s="72"/>
      <c r="T43" s="72"/>
      <c r="U43" s="72"/>
      <c r="V43" s="72"/>
      <c r="W43" s="72"/>
      <c r="X43" s="49"/>
      <c r="Y43" s="46"/>
      <c r="Z43" s="100"/>
    </row>
    <row r="44" spans="1:26" ht="17.25" customHeight="1">
      <c r="A44" s="49">
        <v>300.83684242356941</v>
      </c>
      <c r="B44" s="52" t="s">
        <v>131</v>
      </c>
      <c r="H44" s="49"/>
      <c r="I44" s="102">
        <f t="shared" si="10"/>
        <v>3.76</v>
      </c>
      <c r="J44" s="49"/>
      <c r="K44" s="113"/>
      <c r="L44" s="114"/>
      <c r="O44" s="72"/>
      <c r="P44" s="72"/>
      <c r="Q44" s="72"/>
      <c r="R44" s="104"/>
      <c r="S44" s="72"/>
      <c r="T44" s="72"/>
      <c r="U44" s="72"/>
      <c r="V44" s="72"/>
      <c r="W44" s="72"/>
      <c r="X44" s="49"/>
      <c r="Y44" s="46"/>
    </row>
    <row r="45" spans="1:26" ht="17.25" customHeight="1">
      <c r="A45" s="49">
        <v>308.02702788492456</v>
      </c>
      <c r="B45" s="52" t="s">
        <v>132</v>
      </c>
      <c r="H45" s="49"/>
      <c r="I45" s="102">
        <f t="shared" si="10"/>
        <v>3.85</v>
      </c>
      <c r="J45" s="49"/>
      <c r="K45" s="113"/>
      <c r="L45" s="114"/>
      <c r="O45" s="72"/>
      <c r="P45" s="72"/>
      <c r="Q45" s="72"/>
      <c r="R45" s="104"/>
      <c r="S45" s="72"/>
      <c r="T45" s="72"/>
      <c r="U45" s="72"/>
      <c r="V45" s="72"/>
      <c r="W45" s="72"/>
      <c r="X45" s="49"/>
      <c r="Y45" s="46"/>
    </row>
    <row r="46" spans="1:26" ht="17.25" customHeight="1">
      <c r="A46" s="49">
        <v>315.21721334627983</v>
      </c>
      <c r="B46" s="52" t="s">
        <v>133</v>
      </c>
      <c r="H46" s="49"/>
      <c r="I46" s="102">
        <f t="shared" si="10"/>
        <v>3.94</v>
      </c>
      <c r="J46" s="49"/>
      <c r="K46" s="113"/>
      <c r="L46" s="114"/>
      <c r="O46" s="72"/>
      <c r="P46" s="72"/>
      <c r="Q46" s="72"/>
      <c r="R46" s="104"/>
      <c r="S46" s="72"/>
      <c r="T46" s="72"/>
      <c r="U46" s="72"/>
      <c r="V46" s="72"/>
      <c r="W46" s="72"/>
      <c r="X46" s="49"/>
      <c r="Y46" s="46"/>
    </row>
    <row r="47" spans="1:26" ht="17.25" customHeight="1">
      <c r="A47" s="49">
        <v>344.36591483889583</v>
      </c>
      <c r="B47" s="52" t="s">
        <v>134</v>
      </c>
      <c r="H47" s="49"/>
      <c r="I47" s="102">
        <f t="shared" si="10"/>
        <v>4.3049999999999997</v>
      </c>
      <c r="J47" s="49">
        <f>I47+0.401*1.025</f>
        <v>4.7160250000000001</v>
      </c>
      <c r="K47" s="113"/>
      <c r="L47" s="115"/>
      <c r="O47" s="72"/>
      <c r="P47" s="72"/>
      <c r="Q47" s="72"/>
      <c r="R47" s="104"/>
      <c r="S47" s="72"/>
      <c r="T47" s="72"/>
      <c r="U47" s="72"/>
      <c r="V47" s="72"/>
      <c r="W47" s="72"/>
      <c r="X47" s="49"/>
      <c r="Y47" s="46"/>
    </row>
    <row r="48" spans="1:26" ht="17.25" customHeight="1">
      <c r="A48" s="49"/>
      <c r="B48" s="52"/>
      <c r="H48" s="107"/>
      <c r="I48" s="108"/>
      <c r="J48" s="107"/>
      <c r="K48" s="109"/>
      <c r="L48" s="126"/>
      <c r="M48" s="106"/>
      <c r="N48" s="106"/>
      <c r="O48" s="106"/>
      <c r="P48" s="106"/>
      <c r="Q48" s="106"/>
      <c r="R48" s="110"/>
      <c r="S48" s="106"/>
      <c r="T48" s="106"/>
      <c r="U48" s="106"/>
      <c r="V48" s="106"/>
      <c r="W48" s="106"/>
      <c r="X48" s="109"/>
      <c r="Y48" s="109"/>
    </row>
    <row r="49" spans="1:25" ht="17.25" customHeight="1">
      <c r="H49" s="49"/>
      <c r="I49" s="49"/>
      <c r="J49" s="49"/>
      <c r="K49" s="49"/>
      <c r="L49" s="126"/>
      <c r="O49" s="72"/>
      <c r="P49" s="72"/>
      <c r="Q49" s="72"/>
      <c r="R49" s="104"/>
      <c r="S49" s="72"/>
      <c r="T49" s="72"/>
      <c r="U49" s="72"/>
      <c r="V49" s="72"/>
      <c r="W49" s="72"/>
      <c r="X49" s="49"/>
      <c r="Y49" s="46"/>
    </row>
    <row r="50" spans="1:25">
      <c r="A50" s="50"/>
      <c r="B50" s="52"/>
      <c r="L50" s="126"/>
    </row>
    <row r="51" spans="1:25">
      <c r="A51" s="50"/>
      <c r="B51" s="46"/>
      <c r="C51" s="46"/>
      <c r="L51" s="126"/>
    </row>
    <row r="52" spans="1:25">
      <c r="A52" s="50"/>
      <c r="B52" s="46"/>
      <c r="C52" s="46"/>
      <c r="L52" s="126"/>
    </row>
    <row r="53" spans="1:25">
      <c r="A53" s="50"/>
      <c r="B53" s="46"/>
      <c r="C53" s="46"/>
      <c r="L53" s="126"/>
    </row>
    <row r="54" spans="1:25">
      <c r="A54" s="50"/>
      <c r="B54" s="46"/>
      <c r="C54" s="46"/>
      <c r="L54" s="126"/>
    </row>
    <row r="55" spans="1:25">
      <c r="A55" s="50"/>
      <c r="B55" s="46"/>
      <c r="C55" s="46"/>
    </row>
    <row r="56" spans="1:25">
      <c r="A56" s="43"/>
      <c r="B56" s="46"/>
      <c r="C56" s="46"/>
    </row>
    <row r="57" spans="1:25">
      <c r="A57" s="41"/>
      <c r="B57" s="44"/>
      <c r="C57" s="44"/>
      <c r="D57" s="41"/>
      <c r="E57" s="41"/>
      <c r="F57" s="41"/>
      <c r="G57" s="41"/>
      <c r="H57" s="41"/>
      <c r="I57" s="41"/>
      <c r="J57" s="41"/>
      <c r="K57" s="41"/>
      <c r="L57" s="41"/>
      <c r="M57" s="77"/>
    </row>
    <row r="58" spans="1:25">
      <c r="A58" s="44"/>
    </row>
    <row r="59" spans="1:25">
      <c r="A59" s="46"/>
      <c r="B59" s="44"/>
      <c r="C59" s="44"/>
      <c r="D59" s="44"/>
      <c r="E59" s="44"/>
      <c r="F59" s="44"/>
      <c r="G59" s="45"/>
      <c r="H59" s="45"/>
      <c r="I59" s="45"/>
      <c r="J59" s="45"/>
      <c r="K59" s="45"/>
      <c r="L59" s="45"/>
      <c r="M59" s="70"/>
      <c r="N59" s="70"/>
      <c r="O59" s="70"/>
    </row>
    <row r="60" spans="1:25">
      <c r="A60" s="46"/>
      <c r="B60" s="46"/>
      <c r="C60" s="46"/>
      <c r="F60" s="46"/>
      <c r="G60" s="46"/>
      <c r="H60" s="46"/>
      <c r="I60" s="46"/>
      <c r="J60" s="46"/>
      <c r="K60" s="46"/>
      <c r="L60" s="46"/>
    </row>
    <row r="61" spans="1:25">
      <c r="A61" s="46"/>
      <c r="B61" s="46"/>
      <c r="C61" s="46"/>
      <c r="F61" s="46"/>
      <c r="G61" s="46"/>
      <c r="H61" s="46"/>
      <c r="I61" s="46"/>
      <c r="J61" s="46"/>
      <c r="K61" s="46"/>
      <c r="L61" s="46"/>
    </row>
    <row r="62" spans="1:25">
      <c r="A62" s="46"/>
      <c r="B62" s="46"/>
      <c r="C62" s="46"/>
      <c r="F62" s="46"/>
      <c r="G62" s="46"/>
      <c r="H62" s="46"/>
      <c r="I62" s="46"/>
      <c r="J62" s="46"/>
      <c r="K62" s="46"/>
      <c r="L62" s="46"/>
    </row>
    <row r="63" spans="1:25">
      <c r="A63" s="46"/>
      <c r="B63" s="46"/>
      <c r="C63" s="46"/>
      <c r="F63" s="46"/>
      <c r="G63" s="46"/>
      <c r="H63" s="46"/>
      <c r="I63" s="46"/>
      <c r="J63" s="46"/>
      <c r="K63" s="46"/>
      <c r="L63" s="46"/>
    </row>
    <row r="64" spans="1:25">
      <c r="A64" s="46"/>
      <c r="B64" s="46"/>
      <c r="C64" s="46"/>
      <c r="F64" s="46"/>
      <c r="G64" s="46"/>
      <c r="H64" s="46"/>
      <c r="I64" s="46"/>
      <c r="J64" s="46"/>
      <c r="K64" s="46"/>
      <c r="L64" s="46"/>
    </row>
    <row r="65" spans="1:15">
      <c r="A65" s="46"/>
      <c r="B65" s="46"/>
      <c r="C65" s="46"/>
      <c r="F65" s="46"/>
      <c r="G65" s="46"/>
      <c r="H65" s="46"/>
      <c r="I65" s="46"/>
      <c r="J65" s="46"/>
      <c r="K65" s="46"/>
      <c r="L65" s="46"/>
    </row>
    <row r="66" spans="1:15">
      <c r="A66" s="46"/>
      <c r="B66" s="46"/>
      <c r="C66" s="46"/>
      <c r="F66" s="46"/>
      <c r="G66" s="46"/>
      <c r="H66" s="46"/>
      <c r="I66" s="46"/>
      <c r="J66" s="46"/>
      <c r="K66" s="46"/>
      <c r="L66" s="46"/>
    </row>
    <row r="67" spans="1:15">
      <c r="A67" s="46"/>
      <c r="B67" s="46"/>
      <c r="C67" s="46"/>
      <c r="F67" s="46"/>
      <c r="G67" s="46"/>
      <c r="H67" s="46"/>
      <c r="I67" s="46"/>
      <c r="J67" s="46"/>
      <c r="K67" s="46"/>
      <c r="L67" s="46"/>
    </row>
    <row r="68" spans="1:15">
      <c r="A68" s="46"/>
      <c r="B68" s="46"/>
      <c r="C68" s="46"/>
      <c r="F68" s="46"/>
      <c r="G68" s="46"/>
      <c r="H68" s="46"/>
      <c r="I68" s="46"/>
      <c r="J68" s="46"/>
      <c r="K68" s="46"/>
      <c r="L68" s="46"/>
    </row>
    <row r="69" spans="1:15">
      <c r="A69" s="46"/>
      <c r="B69" s="46"/>
      <c r="C69" s="46"/>
      <c r="F69" s="46"/>
      <c r="G69" s="46"/>
      <c r="H69" s="46"/>
      <c r="I69" s="46"/>
      <c r="J69" s="46"/>
      <c r="K69" s="46"/>
      <c r="L69" s="46"/>
    </row>
    <row r="70" spans="1:15">
      <c r="A70" s="41"/>
      <c r="B70" s="46"/>
      <c r="C70" s="46"/>
      <c r="D70" s="48"/>
      <c r="F70" s="46"/>
      <c r="G70" s="46"/>
      <c r="H70" s="46"/>
      <c r="I70" s="46"/>
      <c r="J70" s="46"/>
      <c r="K70" s="46"/>
      <c r="L70" s="46"/>
    </row>
    <row r="71" spans="1:15">
      <c r="A71" s="41"/>
      <c r="B71" s="41"/>
      <c r="C71" s="46"/>
      <c r="E71" s="41"/>
      <c r="F71" s="41"/>
      <c r="G71" s="46"/>
      <c r="H71" s="46"/>
      <c r="I71" s="46"/>
      <c r="J71" s="46"/>
      <c r="K71" s="46"/>
      <c r="L71" s="46"/>
    </row>
    <row r="72" spans="1:1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77"/>
      <c r="O72" s="69"/>
    </row>
    <row r="73" spans="1:1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77"/>
      <c r="O73" s="69"/>
    </row>
    <row r="74" spans="1:1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77"/>
      <c r="O74" s="69"/>
    </row>
    <row r="75" spans="1:1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77"/>
      <c r="O75" s="69"/>
    </row>
    <row r="76" spans="1:15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77"/>
      <c r="O76" s="69"/>
    </row>
    <row r="77" spans="1:15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77"/>
      <c r="O77" s="69"/>
    </row>
    <row r="78" spans="1:15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77"/>
      <c r="O78" s="69"/>
    </row>
    <row r="79" spans="1:15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77"/>
      <c r="O79" s="69"/>
    </row>
    <row r="80" spans="1:15">
      <c r="A80" s="41"/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77"/>
      <c r="O80" s="69"/>
    </row>
    <row r="81" spans="1:15">
      <c r="B81" s="41"/>
      <c r="C81" s="41"/>
      <c r="D81" s="41"/>
      <c r="E81" s="41"/>
      <c r="F81" s="41"/>
      <c r="G81" s="41"/>
      <c r="H81" s="41"/>
      <c r="I81" s="41"/>
      <c r="J81" s="54"/>
      <c r="K81" s="54"/>
      <c r="L81" s="54"/>
      <c r="M81" s="77"/>
      <c r="O81" s="69"/>
    </row>
    <row r="82" spans="1:15">
      <c r="A82" s="41"/>
      <c r="B82" s="52"/>
    </row>
    <row r="83" spans="1:15">
      <c r="A83" s="41"/>
    </row>
    <row r="84" spans="1:15">
      <c r="A84" s="51"/>
    </row>
    <row r="85" spans="1:15">
      <c r="A85" s="51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</row>
    <row r="86" spans="1:15">
      <c r="A86" s="51"/>
      <c r="B86" s="288"/>
      <c r="C86" s="288"/>
      <c r="D86" s="288"/>
      <c r="E86" s="288"/>
      <c r="F86" s="288"/>
      <c r="G86" s="288"/>
      <c r="H86" s="288"/>
      <c r="I86" s="288"/>
      <c r="J86" s="288"/>
      <c r="K86" s="288"/>
      <c r="L86" s="288"/>
      <c r="M86" s="288"/>
      <c r="N86" s="84"/>
    </row>
    <row r="87" spans="1:15">
      <c r="A87" s="51"/>
      <c r="B87" s="52"/>
      <c r="N87" s="84"/>
    </row>
    <row r="88" spans="1:15">
      <c r="A88" s="51"/>
      <c r="B88" s="52"/>
      <c r="N88" s="84"/>
    </row>
    <row r="89" spans="1:15">
      <c r="A89" s="51"/>
      <c r="B89" s="52"/>
      <c r="N89" s="84"/>
    </row>
    <row r="90" spans="1:15">
      <c r="A90" s="51"/>
      <c r="B90" s="52"/>
      <c r="N90" s="84"/>
    </row>
    <row r="91" spans="1:15">
      <c r="A91" s="51"/>
      <c r="B91" s="52"/>
      <c r="N91" s="84"/>
    </row>
    <row r="92" spans="1:15">
      <c r="A92" s="51"/>
      <c r="B92" s="52"/>
      <c r="N92" s="84"/>
    </row>
    <row r="93" spans="1:15">
      <c r="A93" s="51"/>
      <c r="B93" s="52"/>
      <c r="N93" s="84"/>
    </row>
    <row r="94" spans="1:15">
      <c r="A94" s="51"/>
      <c r="B94" s="52"/>
      <c r="N94" s="84"/>
    </row>
    <row r="95" spans="1:15">
      <c r="A95" s="51"/>
      <c r="B95" s="52"/>
      <c r="N95" s="84"/>
    </row>
    <row r="96" spans="1:15">
      <c r="A96" s="51"/>
      <c r="B96" s="52"/>
      <c r="N96" s="84"/>
    </row>
    <row r="97" spans="1:14">
      <c r="A97" s="51"/>
      <c r="B97" s="52"/>
      <c r="N97" s="84"/>
    </row>
    <row r="98" spans="1:14">
      <c r="A98" s="51"/>
      <c r="B98" s="52"/>
      <c r="N98" s="84"/>
    </row>
    <row r="99" spans="1:14">
      <c r="A99" s="51"/>
      <c r="B99" s="52"/>
      <c r="N99" s="84"/>
    </row>
    <row r="100" spans="1:14">
      <c r="B100" s="52"/>
      <c r="N100" s="84"/>
    </row>
    <row r="101" spans="1:14">
      <c r="B101" s="52"/>
      <c r="N101" s="84"/>
    </row>
    <row r="102" spans="1:14">
      <c r="B102" s="52"/>
    </row>
    <row r="103" spans="1:14">
      <c r="B103" s="52"/>
    </row>
  </sheetData>
  <mergeCells count="2">
    <mergeCell ref="B85:M85"/>
    <mergeCell ref="B86:M86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6" max="16383" man="1"/>
  </rowBreaks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7BD5-4234-4F1E-95D3-2E865212609E}">
  <sheetPr codeName="Sheet19"/>
  <dimension ref="A1:V5"/>
  <sheetViews>
    <sheetView workbookViewId="0">
      <selection activeCell="O13" sqref="O13"/>
    </sheetView>
  </sheetViews>
  <sheetFormatPr defaultColWidth="10.265625" defaultRowHeight="14.25"/>
  <cols>
    <col min="1" max="1" width="7" style="116" bestFit="1" customWidth="1"/>
    <col min="2" max="2" width="24.86328125" style="116" bestFit="1" customWidth="1"/>
    <col min="3" max="3" width="9.59765625" style="116" bestFit="1" customWidth="1"/>
    <col min="4" max="4" width="26.265625" style="116" bestFit="1" customWidth="1"/>
    <col min="5" max="5" width="8.73046875" style="116" customWidth="1"/>
    <col min="6" max="6" width="14.3984375" style="117" bestFit="1" customWidth="1"/>
    <col min="7" max="7" width="21.3984375" style="144" bestFit="1" customWidth="1"/>
    <col min="8" max="8" width="13.3984375" style="117" bestFit="1" customWidth="1"/>
    <col min="9" max="9" width="20.265625" style="144" hidden="1" customWidth="1"/>
    <col min="10" max="10" width="17.3984375" style="116" hidden="1" customWidth="1"/>
    <col min="11" max="11" width="10.265625" style="146" hidden="1" customWidth="1"/>
    <col min="12" max="12" width="12" style="144" bestFit="1" customWidth="1"/>
    <col min="13" max="13" width="5.1328125" style="118" bestFit="1" customWidth="1"/>
    <col min="14" max="14" width="9.86328125" style="119" bestFit="1" customWidth="1"/>
    <col min="15" max="15" width="10.1328125" style="116" bestFit="1" customWidth="1"/>
    <col min="16" max="16" width="11.86328125" style="118" bestFit="1" customWidth="1"/>
    <col min="17" max="17" width="10" style="118" bestFit="1" customWidth="1"/>
    <col min="18" max="18" width="10" style="116" bestFit="1" customWidth="1"/>
    <col min="19" max="19" width="4.59765625" style="116" bestFit="1" customWidth="1"/>
    <col min="20" max="20" width="10.73046875" style="119" bestFit="1" customWidth="1"/>
    <col min="21" max="21" width="12.59765625" style="118" bestFit="1" customWidth="1"/>
    <col min="22" max="22" width="8.73046875" style="116" customWidth="1"/>
    <col min="23" max="16384" width="10.265625" style="116"/>
  </cols>
  <sheetData>
    <row r="1" spans="1:22" ht="15" thickTop="1" thickBot="1">
      <c r="A1" s="124" t="s">
        <v>239</v>
      </c>
      <c r="B1" s="124" t="s">
        <v>240</v>
      </c>
      <c r="C1" s="124" t="s">
        <v>137</v>
      </c>
      <c r="D1" s="124" t="s">
        <v>241</v>
      </c>
      <c r="E1" s="124" t="s">
        <v>242</v>
      </c>
      <c r="F1" s="124" t="s">
        <v>243</v>
      </c>
      <c r="G1" s="124" t="s">
        <v>244</v>
      </c>
      <c r="H1" s="124" t="s">
        <v>245</v>
      </c>
      <c r="I1" s="124" t="s">
        <v>246</v>
      </c>
      <c r="J1" s="124" t="s">
        <v>247</v>
      </c>
      <c r="K1" s="145" t="s">
        <v>248</v>
      </c>
      <c r="L1" s="124" t="s">
        <v>249</v>
      </c>
      <c r="M1" s="124" t="s">
        <v>250</v>
      </c>
      <c r="N1" s="124" t="s">
        <v>251</v>
      </c>
      <c r="O1" s="124" t="s">
        <v>252</v>
      </c>
      <c r="P1" s="124" t="s">
        <v>253</v>
      </c>
      <c r="Q1" s="124" t="s">
        <v>254</v>
      </c>
      <c r="R1" s="124" t="s">
        <v>255</v>
      </c>
      <c r="S1" s="124" t="s">
        <v>256</v>
      </c>
      <c r="T1" s="124" t="s">
        <v>257</v>
      </c>
      <c r="U1" s="124" t="s">
        <v>258</v>
      </c>
      <c r="V1" s="124" t="s">
        <v>242</v>
      </c>
    </row>
    <row r="2" spans="1:22" ht="14.65" thickTop="1">
      <c r="A2" s="116" t="s">
        <v>264</v>
      </c>
      <c r="B2" s="116" t="s">
        <v>265</v>
      </c>
      <c r="C2" s="116" t="s">
        <v>39</v>
      </c>
      <c r="D2" s="116" t="s">
        <v>259</v>
      </c>
      <c r="E2" s="116" t="s">
        <v>145</v>
      </c>
      <c r="F2" s="117">
        <v>43.716000000000001</v>
      </c>
      <c r="G2" s="144">
        <v>90929.279999999999</v>
      </c>
      <c r="H2" s="117">
        <v>4.3879999999999999</v>
      </c>
      <c r="I2" s="144">
        <v>9127.0400000000009</v>
      </c>
      <c r="J2" s="116" t="s">
        <v>260</v>
      </c>
      <c r="K2" s="146" t="s">
        <v>261</v>
      </c>
      <c r="L2" s="144">
        <v>40</v>
      </c>
      <c r="M2" s="118">
        <v>1</v>
      </c>
      <c r="N2" s="119">
        <v>43831</v>
      </c>
      <c r="O2" s="116" t="s">
        <v>262</v>
      </c>
      <c r="P2" s="118">
        <v>9</v>
      </c>
      <c r="Q2" s="118">
        <v>440</v>
      </c>
      <c r="R2" s="116" t="s">
        <v>14</v>
      </c>
      <c r="S2" s="116" t="s">
        <v>266</v>
      </c>
      <c r="T2" s="119">
        <v>36373</v>
      </c>
      <c r="U2" s="118">
        <v>0</v>
      </c>
      <c r="V2" s="116" t="s">
        <v>145</v>
      </c>
    </row>
    <row r="3" spans="1:22">
      <c r="A3" s="116" t="s">
        <v>267</v>
      </c>
      <c r="B3" s="116" t="s">
        <v>268</v>
      </c>
      <c r="C3" s="116" t="s">
        <v>39</v>
      </c>
      <c r="D3" s="116" t="s">
        <v>259</v>
      </c>
      <c r="E3" s="116" t="s">
        <v>145</v>
      </c>
      <c r="F3" s="117">
        <v>48.773000000000003</v>
      </c>
      <c r="G3" s="144">
        <v>101447.84</v>
      </c>
      <c r="H3" s="117">
        <v>4.3879999999999999</v>
      </c>
      <c r="I3" s="144">
        <v>9127.0400000000009</v>
      </c>
      <c r="J3" s="116" t="s">
        <v>260</v>
      </c>
      <c r="K3" s="146" t="s">
        <v>261</v>
      </c>
      <c r="L3" s="144">
        <v>40</v>
      </c>
      <c r="M3" s="118">
        <v>5</v>
      </c>
      <c r="N3" s="119">
        <v>43831</v>
      </c>
      <c r="O3" s="116" t="s">
        <v>262</v>
      </c>
      <c r="P3" s="118">
        <v>9</v>
      </c>
      <c r="Q3" s="118">
        <v>440</v>
      </c>
      <c r="R3" s="116" t="s">
        <v>14</v>
      </c>
      <c r="S3" s="116" t="s">
        <v>266</v>
      </c>
      <c r="T3" s="119">
        <v>36265</v>
      </c>
      <c r="U3" s="118">
        <v>0</v>
      </c>
      <c r="V3" s="116" t="s">
        <v>145</v>
      </c>
    </row>
    <row r="4" spans="1:22">
      <c r="A4" s="116" t="s">
        <v>269</v>
      </c>
      <c r="B4" s="116" t="s">
        <v>270</v>
      </c>
      <c r="C4" s="116" t="s">
        <v>39</v>
      </c>
      <c r="D4" s="116" t="s">
        <v>259</v>
      </c>
      <c r="E4" s="116" t="s">
        <v>145</v>
      </c>
      <c r="F4" s="117">
        <v>45.213000000000001</v>
      </c>
      <c r="G4" s="144">
        <v>94043.04</v>
      </c>
      <c r="H4" s="117">
        <v>4.3879999999999999</v>
      </c>
      <c r="I4" s="144">
        <v>9127.0400000000009</v>
      </c>
      <c r="J4" s="116" t="s">
        <v>260</v>
      </c>
      <c r="K4" s="146" t="s">
        <v>261</v>
      </c>
      <c r="L4" s="144">
        <v>40</v>
      </c>
      <c r="M4" s="118">
        <v>3</v>
      </c>
      <c r="N4" s="119">
        <v>43598</v>
      </c>
      <c r="O4" s="116" t="s">
        <v>262</v>
      </c>
      <c r="P4" s="118">
        <v>9</v>
      </c>
      <c r="Q4" s="118">
        <v>440</v>
      </c>
      <c r="R4" s="116" t="s">
        <v>14</v>
      </c>
      <c r="S4" s="116" t="s">
        <v>266</v>
      </c>
      <c r="T4" s="119">
        <v>36265</v>
      </c>
      <c r="U4" s="118">
        <v>0</v>
      </c>
      <c r="V4" s="116" t="s">
        <v>145</v>
      </c>
    </row>
    <row r="5" spans="1:22">
      <c r="A5" s="116" t="s">
        <v>271</v>
      </c>
      <c r="B5" s="116" t="s">
        <v>272</v>
      </c>
      <c r="C5" s="116" t="s">
        <v>39</v>
      </c>
      <c r="D5" s="116" t="s">
        <v>259</v>
      </c>
      <c r="E5" s="116" t="s">
        <v>145</v>
      </c>
      <c r="F5" s="117">
        <v>48.773000000000003</v>
      </c>
      <c r="G5" s="144">
        <v>101447.84</v>
      </c>
      <c r="H5" s="117">
        <v>4.3879999999999999</v>
      </c>
      <c r="I5" s="144">
        <v>9127.0400000000009</v>
      </c>
      <c r="J5" s="116" t="s">
        <v>260</v>
      </c>
      <c r="K5" s="146" t="s">
        <v>261</v>
      </c>
      <c r="L5" s="144">
        <v>40</v>
      </c>
      <c r="M5" s="118">
        <v>5</v>
      </c>
      <c r="N5" s="119">
        <v>39540</v>
      </c>
      <c r="O5" s="116" t="s">
        <v>262</v>
      </c>
      <c r="P5" s="118">
        <v>9</v>
      </c>
      <c r="Q5" s="118">
        <v>440</v>
      </c>
      <c r="R5" s="116" t="s">
        <v>14</v>
      </c>
      <c r="S5" s="116" t="s">
        <v>263</v>
      </c>
      <c r="T5" s="119">
        <v>36081</v>
      </c>
      <c r="U5" s="118">
        <v>0</v>
      </c>
      <c r="V5" s="116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R106"/>
  <sheetViews>
    <sheetView workbookViewId="0">
      <selection activeCell="H11" sqref="H11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1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8.398437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7" width="9.1328125" style="2"/>
    <col min="18" max="18" width="0.3984375" style="2" customWidth="1"/>
    <col min="19" max="16384" width="9.1328125" style="2"/>
  </cols>
  <sheetData>
    <row r="1" spans="1:18" ht="13.15">
      <c r="A1" s="1" t="s">
        <v>0</v>
      </c>
      <c r="B1" s="1"/>
      <c r="C1" s="1"/>
      <c r="D1" s="1"/>
      <c r="E1" s="1"/>
      <c r="F1" s="1"/>
      <c r="G1" s="1"/>
      <c r="H1" s="1"/>
    </row>
    <row r="2" spans="1:18" ht="13.15">
      <c r="A2" s="1"/>
      <c r="B2" s="1"/>
      <c r="C2" s="1"/>
      <c r="D2" s="1"/>
      <c r="E2" s="1"/>
      <c r="F2" s="1"/>
      <c r="G2" s="1"/>
      <c r="H2" s="1"/>
    </row>
    <row r="3" spans="1:18" ht="13.15">
      <c r="A3" s="3" t="s">
        <v>73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8" ht="13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13.1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32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/>
      <c r="R5" s="2">
        <f>924/26</f>
        <v>35.53846153846154</v>
      </c>
    </row>
    <row r="6" spans="1:18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3" t="s">
        <v>18</v>
      </c>
      <c r="H6" s="6">
        <f>'Sept 9, 2007'!H6+37</f>
        <v>1678.82</v>
      </c>
      <c r="I6" s="6">
        <f>'Sept 9, 2007'!I6+37</f>
        <v>1792.1200000000001</v>
      </c>
      <c r="J6" s="6">
        <f>'Sept 9, 2007'!J6+37</f>
        <v>1914.69</v>
      </c>
      <c r="K6" s="6">
        <f>'Sept 9, 2007'!K6+37</f>
        <v>2045.5</v>
      </c>
      <c r="L6" s="6">
        <f>'Sept 9, 2007'!L6+37</f>
        <v>2184.5500000000002</v>
      </c>
      <c r="M6" s="6">
        <f>'Sept 9, 2007'!M6+37</f>
        <v>2316.922927562</v>
      </c>
    </row>
    <row r="7" spans="1:18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3" t="s">
        <v>18</v>
      </c>
      <c r="H7" s="6">
        <f>'Sept 9, 2007'!H7+37</f>
        <v>1678.82</v>
      </c>
      <c r="I7" s="6">
        <f>'Sept 9, 2007'!I7+37</f>
        <v>1792.1200000000001</v>
      </c>
      <c r="J7" s="6">
        <f>'Sept 9, 2007'!J7+37</f>
        <v>1914.69</v>
      </c>
      <c r="K7" s="6">
        <f>'Sept 9, 2007'!K7+37</f>
        <v>2045.5</v>
      </c>
      <c r="L7" s="6">
        <f>'Sept 9, 2007'!L7+37</f>
        <v>2184.5500000000002</v>
      </c>
      <c r="M7" s="6">
        <f>'Sept 9, 2007'!M7+37</f>
        <v>2316.922927562</v>
      </c>
    </row>
    <row r="8" spans="1:18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3" t="s">
        <v>18</v>
      </c>
      <c r="H8" s="6">
        <f>'Sept 9, 2007'!H8+37</f>
        <v>1678.82</v>
      </c>
      <c r="I8" s="6">
        <f>'Sept 9, 2007'!I8+37</f>
        <v>1792.1200000000001</v>
      </c>
      <c r="J8" s="6">
        <f>'Sept 9, 2007'!J8+37</f>
        <v>1914.69</v>
      </c>
      <c r="K8" s="6">
        <f>'Sept 9, 2007'!K8+37</f>
        <v>2045.5</v>
      </c>
      <c r="L8" s="6">
        <f>'Sept 9, 2007'!L8+37</f>
        <v>2184.5500000000002</v>
      </c>
      <c r="M8" s="6">
        <f>'Sept 9, 2007'!M8+37</f>
        <v>2316.922927562</v>
      </c>
    </row>
    <row r="9" spans="1:18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3" t="s">
        <v>18</v>
      </c>
      <c r="H9" s="6">
        <f>'Sept 9, 2007'!H9+37</f>
        <v>2360.6799999999998</v>
      </c>
      <c r="I9" s="6">
        <f>'Sept 9, 2007'!I9+37</f>
        <v>2453.38</v>
      </c>
      <c r="J9" s="6">
        <f>'Sept 9, 2007'!J9+37</f>
        <v>2602.4400779174998</v>
      </c>
      <c r="K9" s="6"/>
      <c r="L9" s="6"/>
      <c r="M9" s="6"/>
    </row>
    <row r="10" spans="1:18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3" t="s">
        <v>18</v>
      </c>
      <c r="H10" s="6">
        <f>'Sept 9, 2007'!H10+37</f>
        <v>2360.6799999999998</v>
      </c>
      <c r="I10" s="6">
        <f>'Sept 9, 2007'!I10+37</f>
        <v>2453.38</v>
      </c>
      <c r="J10" s="6">
        <f>'Sept 9, 2007'!J10+37</f>
        <v>2602.4400779174998</v>
      </c>
      <c r="K10" s="6"/>
      <c r="L10" s="6"/>
      <c r="M10" s="6"/>
    </row>
    <row r="11" spans="1:18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3" t="s">
        <v>18</v>
      </c>
      <c r="H11" s="6">
        <f>'Sept 9, 2007'!H11+37</f>
        <v>2360.6799999999998</v>
      </c>
      <c r="I11" s="6">
        <f>'Sept 9, 2007'!I11+37</f>
        <v>2453.38</v>
      </c>
      <c r="J11" s="6">
        <f>'Sept 9, 2007'!J11+37</f>
        <v>2602.4400779174998</v>
      </c>
      <c r="K11" s="6"/>
      <c r="L11" s="6"/>
      <c r="M11" s="6"/>
    </row>
    <row r="12" spans="1:18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3" t="s">
        <v>18</v>
      </c>
      <c r="H12" s="6">
        <f>'Sept 9, 2007'!H12+37</f>
        <v>2675.86</v>
      </c>
      <c r="I12" s="6">
        <f>'Sept 9, 2007'!I12+37</f>
        <v>2781.9500000000003</v>
      </c>
      <c r="J12" s="6">
        <f>'Sept 9, 2007'!J12+37</f>
        <v>2952.2249263234999</v>
      </c>
      <c r="K12" s="6"/>
      <c r="L12" s="6"/>
      <c r="M12" s="6"/>
    </row>
    <row r="13" spans="1:18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3" t="s">
        <v>18</v>
      </c>
      <c r="H13" s="6">
        <f>'Sept 9, 2007'!H13+37</f>
        <v>2675.86</v>
      </c>
      <c r="I13" s="6">
        <f>'Sept 9, 2007'!I13+37</f>
        <v>2781.9500000000003</v>
      </c>
      <c r="J13" s="6">
        <f>'Sept 9, 2007'!J13+37</f>
        <v>2952.2249263234999</v>
      </c>
      <c r="K13" s="6"/>
      <c r="L13" s="6"/>
      <c r="M13" s="6"/>
    </row>
    <row r="14" spans="1:18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3" t="s">
        <v>18</v>
      </c>
      <c r="H14" s="6">
        <f>'Sept 9, 2007'!H14+37</f>
        <v>2675.86</v>
      </c>
      <c r="I14" s="6">
        <f>'Sept 9, 2007'!I14+37</f>
        <v>2781.9500000000003</v>
      </c>
      <c r="J14" s="6">
        <f>'Sept 9, 2007'!J14+37</f>
        <v>2952.2249263234999</v>
      </c>
      <c r="K14" s="6"/>
      <c r="L14" s="6"/>
      <c r="M14" s="6"/>
    </row>
    <row r="15" spans="1:18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3" t="s">
        <v>18</v>
      </c>
      <c r="H15" s="6">
        <f>'Sept 9, 2007'!H15+37</f>
        <v>2675.86</v>
      </c>
      <c r="I15" s="6">
        <f>'Sept 9, 2007'!I15+37</f>
        <v>2781.9500000000003</v>
      </c>
      <c r="J15" s="6">
        <f>'Sept 9, 2007'!J15+37</f>
        <v>2952.2249263234999</v>
      </c>
      <c r="K15" s="6"/>
      <c r="L15" s="6"/>
      <c r="M15" s="6"/>
    </row>
    <row r="16" spans="1:18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3" t="s">
        <v>18</v>
      </c>
      <c r="H16" s="6">
        <f>'Sept 9, 2007'!H16+37</f>
        <v>2675.86</v>
      </c>
      <c r="I16" s="6">
        <f>'Sept 9, 2007'!I16+37</f>
        <v>2781.9500000000003</v>
      </c>
      <c r="J16" s="6">
        <f>'Sept 9, 2007'!J16+37</f>
        <v>2952.2249263234999</v>
      </c>
      <c r="K16" s="6"/>
      <c r="L16" s="6"/>
      <c r="M16" s="6"/>
    </row>
    <row r="17" spans="1:18" ht="42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3" t="s">
        <v>18</v>
      </c>
      <c r="H17" s="6">
        <f>'Sept 9, 2007'!H17+37</f>
        <v>2693.37</v>
      </c>
      <c r="I17" s="6">
        <f>'Sept 9, 2007'!I17+37</f>
        <v>2738.69</v>
      </c>
      <c r="J17" s="6">
        <f>'Sept 9, 2007'!J17+37</f>
        <v>2785.04</v>
      </c>
      <c r="K17" s="6">
        <f>'Sept 9, 2007'!K17+37</f>
        <v>2832.42</v>
      </c>
      <c r="L17" s="6">
        <f>'Sept 9, 2007'!L17+37</f>
        <v>2879.8</v>
      </c>
      <c r="M17" s="6">
        <f>'Sept 9, 2007'!M17+37</f>
        <v>3055.4746707324994</v>
      </c>
    </row>
    <row r="18" spans="1:18" ht="13.15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3" t="s">
        <v>18</v>
      </c>
      <c r="H18" s="6">
        <f>'Sept 9, 2007'!H18+37</f>
        <v>2693.37</v>
      </c>
      <c r="I18" s="6">
        <f>'Sept 9, 2007'!I18+37</f>
        <v>2738.69</v>
      </c>
      <c r="J18" s="6">
        <f>'Sept 9, 2007'!J18+37</f>
        <v>2785.04</v>
      </c>
      <c r="K18" s="6">
        <f>'Sept 9, 2007'!K18+37</f>
        <v>2832.42</v>
      </c>
      <c r="L18" s="6">
        <f>'Sept 9, 2007'!L18+37</f>
        <v>2879.8</v>
      </c>
      <c r="M18" s="6">
        <f>'Sept 9, 2007'!M18+37</f>
        <v>3055.4746707324994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v>0.74803386255499993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/>
    </row>
    <row r="22" spans="1:18">
      <c r="A22" s="10"/>
      <c r="B22" s="10"/>
      <c r="C22" s="14">
        <v>0.32660633435499997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/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v>12.895682362919999</v>
      </c>
      <c r="B33" s="289" t="s">
        <v>54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R33" s="25"/>
    </row>
    <row r="34" spans="1:18">
      <c r="A34" s="14">
        <v>18.289954723880001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v>23.68422708484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v>29.078499445799999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v>34.472771806760001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v>104.18742065924499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v>110.04526330122501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v>115.89257025500001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v>151.58748189354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v>157.43478884731499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v>163.29263148929499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v>169.15047413127502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v>185.75471874235498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v>233.37602942895498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v>239.23387207093498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v>245.09171471291498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v>250.94955735489501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v>256.80739999687501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v>280.55484121094503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 ht="13.15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 ht="13.15">
      <c r="A60" s="1"/>
    </row>
    <row r="61" spans="1:18" ht="13.15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 ht="13.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 ht="13.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 ht="13.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 ht="13.15">
      <c r="A85" s="1"/>
    </row>
    <row r="86" spans="1:15">
      <c r="A86" s="22"/>
      <c r="B86" s="23"/>
    </row>
    <row r="87" spans="1:15">
      <c r="A87" s="25"/>
      <c r="B87" s="289"/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</row>
    <row r="88" spans="1:15">
      <c r="A88" s="25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sheetProtection password="E3B7" sheet="1" objects="1" scenarios="1"/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0"/>
  <dimension ref="A1:AK119"/>
  <sheetViews>
    <sheetView topLeftCell="A20" workbookViewId="0">
      <selection activeCell="J41" sqref="J41"/>
    </sheetView>
  </sheetViews>
  <sheetFormatPr defaultColWidth="9.1328125" defaultRowHeight="14.25"/>
  <cols>
    <col min="1" max="1" width="9.1328125" style="42"/>
    <col min="2" max="2" width="10.3984375" style="42" customWidth="1"/>
    <col min="3" max="3" width="7.59765625" style="42" customWidth="1"/>
    <col min="4" max="4" width="8.1328125" style="42" customWidth="1"/>
    <col min="5" max="5" width="31.3984375" style="42" customWidth="1"/>
    <col min="6" max="6" width="17.3984375" style="42" hidden="1" customWidth="1"/>
    <col min="7" max="7" width="4.1328125" style="42" customWidth="1"/>
    <col min="8" max="8" width="10" style="42" bestFit="1" customWidth="1"/>
    <col min="9" max="9" width="9" style="42" bestFit="1" customWidth="1"/>
    <col min="10" max="10" width="10.59765625" style="42" bestFit="1" customWidth="1"/>
    <col min="11" max="11" width="9" style="42" bestFit="1" customWidth="1"/>
    <col min="12" max="12" width="8.1328125" style="42" customWidth="1"/>
    <col min="13" max="13" width="8" style="42" bestFit="1" customWidth="1"/>
    <col min="14" max="14" width="14.3984375" style="72" bestFit="1" customWidth="1"/>
    <col min="15" max="15" width="4.86328125" style="42" customWidth="1"/>
    <col min="16" max="16384" width="9.1328125" style="42"/>
  </cols>
  <sheetData>
    <row r="1" spans="1:37" ht="18">
      <c r="B1" s="57" t="s">
        <v>140</v>
      </c>
      <c r="C1" s="58"/>
      <c r="D1" s="58"/>
      <c r="E1" s="58"/>
      <c r="F1" s="58"/>
      <c r="G1" s="58"/>
      <c r="H1" s="58"/>
      <c r="I1" s="58"/>
      <c r="J1" s="59"/>
      <c r="K1" s="59"/>
      <c r="L1" s="59"/>
      <c r="M1" s="78"/>
    </row>
    <row r="2" spans="1:37" ht="25.5">
      <c r="B2" s="97" t="s">
        <v>183</v>
      </c>
      <c r="C2" s="60"/>
      <c r="D2" s="60"/>
      <c r="E2" s="58"/>
      <c r="F2" s="58"/>
      <c r="G2" s="58" t="s">
        <v>80</v>
      </c>
      <c r="H2" s="58"/>
      <c r="I2" s="58"/>
      <c r="J2" s="58"/>
      <c r="K2" s="58"/>
      <c r="L2" s="58"/>
      <c r="M2" s="79"/>
      <c r="N2" s="77"/>
    </row>
    <row r="3" spans="1:37" ht="30" customHeight="1">
      <c r="A3" s="48" t="s">
        <v>205</v>
      </c>
      <c r="B3" s="60" t="s">
        <v>137</v>
      </c>
      <c r="C3" s="62" t="s">
        <v>114</v>
      </c>
      <c r="D3" s="62" t="s">
        <v>138</v>
      </c>
      <c r="E3" s="60" t="s">
        <v>4</v>
      </c>
      <c r="F3" s="60" t="s">
        <v>5</v>
      </c>
      <c r="G3" s="60" t="s">
        <v>6</v>
      </c>
      <c r="H3" s="62" t="s">
        <v>7</v>
      </c>
      <c r="I3" s="62" t="s">
        <v>8</v>
      </c>
      <c r="J3" s="62" t="s">
        <v>9</v>
      </c>
      <c r="K3" s="62" t="s">
        <v>10</v>
      </c>
      <c r="L3" s="62" t="s">
        <v>11</v>
      </c>
      <c r="M3" s="80" t="s">
        <v>12</v>
      </c>
      <c r="N3" s="70"/>
      <c r="R3" s="291"/>
      <c r="S3" s="291"/>
      <c r="T3" s="291"/>
      <c r="U3" s="291"/>
      <c r="V3" s="291"/>
      <c r="W3" s="291"/>
      <c r="Y3" s="291"/>
      <c r="Z3" s="291"/>
      <c r="AA3" s="291"/>
      <c r="AB3" s="291"/>
      <c r="AC3" s="291"/>
      <c r="AD3" s="291"/>
      <c r="AF3" s="291"/>
      <c r="AG3" s="291"/>
      <c r="AH3" s="291"/>
      <c r="AI3" s="291"/>
      <c r="AJ3" s="291"/>
      <c r="AK3" s="291"/>
    </row>
    <row r="4" spans="1:37" ht="18.75" customHeight="1">
      <c r="B4" s="63" t="s">
        <v>157</v>
      </c>
      <c r="C4" s="63" t="s">
        <v>115</v>
      </c>
      <c r="D4" s="63" t="s">
        <v>156</v>
      </c>
      <c r="E4" s="59" t="s">
        <v>84</v>
      </c>
      <c r="F4" s="60"/>
      <c r="G4" s="63" t="s">
        <v>17</v>
      </c>
      <c r="H4" s="64">
        <f>'January 1, 2019'!G4*1.025</f>
        <v>1677.1395000436123</v>
      </c>
      <c r="I4" s="62"/>
      <c r="J4" s="62"/>
      <c r="K4" s="62"/>
      <c r="L4" s="62"/>
      <c r="M4" s="80"/>
      <c r="N4" s="70" t="s">
        <v>143</v>
      </c>
      <c r="Y4" s="100"/>
    </row>
    <row r="5" spans="1:37" ht="18.75" customHeight="1">
      <c r="A5" s="42" t="s">
        <v>206</v>
      </c>
      <c r="B5" s="63" t="s">
        <v>15</v>
      </c>
      <c r="C5" s="63" t="s">
        <v>115</v>
      </c>
      <c r="D5" s="63" t="s">
        <v>148</v>
      </c>
      <c r="E5" s="59" t="s">
        <v>16</v>
      </c>
      <c r="F5" s="59">
        <v>353</v>
      </c>
      <c r="G5" s="63" t="s">
        <v>17</v>
      </c>
      <c r="H5" s="64">
        <f>'January 1, 2019'!G5*1.025</f>
        <v>2395.9135714908748</v>
      </c>
      <c r="I5" s="64">
        <f>'January 1, 2019'!H5*1.025</f>
        <v>2491.7501143505092</v>
      </c>
      <c r="J5" s="64">
        <f>'January 1, 2019'!I5*1.025</f>
        <v>2591.42011892453</v>
      </c>
      <c r="K5" s="64">
        <f>'January 1, 2019'!J5*1.025</f>
        <v>2695.0769236815113</v>
      </c>
      <c r="L5" s="64">
        <f>'January 1, 2019'!K5*1.025</f>
        <v>2802.880000628772</v>
      </c>
      <c r="M5" s="64">
        <f>'January 1, 2019'!L5*1.025</f>
        <v>2914.9952006539233</v>
      </c>
      <c r="N5" s="72" t="s">
        <v>144</v>
      </c>
      <c r="Y5" s="100"/>
      <c r="Z5" s="100"/>
      <c r="AA5" s="100"/>
      <c r="AB5" s="100"/>
      <c r="AC5" s="100"/>
      <c r="AD5" s="100"/>
    </row>
    <row r="6" spans="1:37" ht="18.75" customHeight="1">
      <c r="A6" s="42" t="s">
        <v>207</v>
      </c>
      <c r="B6" s="63" t="s">
        <v>19</v>
      </c>
      <c r="C6" s="63" t="s">
        <v>115</v>
      </c>
      <c r="D6" s="63" t="s">
        <v>149</v>
      </c>
      <c r="E6" s="59" t="s">
        <v>20</v>
      </c>
      <c r="F6" s="59">
        <v>353</v>
      </c>
      <c r="G6" s="63" t="s">
        <v>17</v>
      </c>
      <c r="H6" s="64">
        <f>'January 1, 2019'!G6*1.025</f>
        <v>2395.9135714908748</v>
      </c>
      <c r="I6" s="64">
        <f>'January 1, 2019'!H6*1.025</f>
        <v>2491.7501143505092</v>
      </c>
      <c r="J6" s="64">
        <f>'January 1, 2019'!I6*1.025</f>
        <v>2591.42011892453</v>
      </c>
      <c r="K6" s="64">
        <f>'January 1, 2019'!J6*1.025</f>
        <v>2695.0769236815113</v>
      </c>
      <c r="L6" s="64">
        <f>'January 1, 2019'!K6*1.025</f>
        <v>2802.880000628772</v>
      </c>
      <c r="M6" s="64">
        <f>'January 1, 2019'!L6*1.025</f>
        <v>2914.9952006539233</v>
      </c>
      <c r="N6" s="72" t="s">
        <v>143</v>
      </c>
      <c r="Y6" s="100"/>
      <c r="Z6" s="100"/>
      <c r="AA6" s="100"/>
      <c r="AB6" s="100"/>
      <c r="AC6" s="100"/>
      <c r="AD6" s="100"/>
    </row>
    <row r="7" spans="1:37" ht="18.75" customHeight="1">
      <c r="B7" s="63" t="s">
        <v>21</v>
      </c>
      <c r="C7" s="63" t="s">
        <v>115</v>
      </c>
      <c r="D7" s="63" t="s">
        <v>148</v>
      </c>
      <c r="E7" s="59" t="s">
        <v>22</v>
      </c>
      <c r="F7" s="59"/>
      <c r="G7" s="63" t="s">
        <v>17</v>
      </c>
      <c r="H7" s="64">
        <f>'January 1, 2019'!G7*1.025</f>
        <v>2395.9135714908748</v>
      </c>
      <c r="I7" s="64">
        <f>'January 1, 2019'!H7*1.025</f>
        <v>2491.7501143505092</v>
      </c>
      <c r="J7" s="64">
        <f>'January 1, 2019'!I7*1.025</f>
        <v>2591.42011892453</v>
      </c>
      <c r="K7" s="64">
        <f>'January 1, 2019'!J7*1.025</f>
        <v>2695.0769236815113</v>
      </c>
      <c r="L7" s="64">
        <f>'January 1, 2019'!K7*1.025</f>
        <v>2802.880000628772</v>
      </c>
      <c r="M7" s="64">
        <f>'January 1, 2019'!L7*1.025</f>
        <v>2914.9952006539233</v>
      </c>
      <c r="N7" s="72" t="s">
        <v>144</v>
      </c>
      <c r="Y7" s="100"/>
      <c r="Z7" s="100"/>
      <c r="AA7" s="100"/>
      <c r="AB7" s="100"/>
      <c r="AC7" s="100"/>
      <c r="AD7" s="100"/>
    </row>
    <row r="8" spans="1:37" ht="18.75" customHeight="1">
      <c r="B8" s="63" t="s">
        <v>23</v>
      </c>
      <c r="C8" s="63" t="s">
        <v>115</v>
      </c>
      <c r="D8" s="63" t="s">
        <v>150</v>
      </c>
      <c r="E8" s="59" t="s">
        <v>24</v>
      </c>
      <c r="F8" s="59"/>
      <c r="G8" s="63" t="s">
        <v>17</v>
      </c>
      <c r="H8" s="64">
        <f>'January 1, 2019'!G8*1.025</f>
        <v>2970.0473798326461</v>
      </c>
      <c r="I8" s="64">
        <f>'January 1, 2019'!H8*1.025</f>
        <v>3086.676229194054</v>
      </c>
      <c r="J8" s="64">
        <f>'January 1, 2019'!I8*1.025</f>
        <v>3274.2135039862833</v>
      </c>
      <c r="K8" s="64"/>
      <c r="L8" s="64"/>
      <c r="M8" s="81"/>
      <c r="N8" s="72" t="s">
        <v>144</v>
      </c>
      <c r="Y8" s="100"/>
      <c r="Z8" s="100"/>
      <c r="AA8" s="100"/>
      <c r="AB8" s="100"/>
      <c r="AC8" s="100"/>
      <c r="AD8" s="100"/>
    </row>
    <row r="9" spans="1:37" ht="18.75" customHeight="1">
      <c r="B9" s="63" t="s">
        <v>195</v>
      </c>
      <c r="C9" s="63" t="s">
        <v>115</v>
      </c>
      <c r="D9" s="63" t="s">
        <v>151</v>
      </c>
      <c r="E9" s="59" t="s">
        <v>26</v>
      </c>
      <c r="F9" s="59"/>
      <c r="G9" s="63" t="s">
        <v>17</v>
      </c>
      <c r="H9" s="64">
        <f>'January 1, 2019'!G9*1.025</f>
        <v>2970.0473798326461</v>
      </c>
      <c r="I9" s="64">
        <f>'January 1, 2019'!H9*1.025</f>
        <v>3086.676229194054</v>
      </c>
      <c r="J9" s="64">
        <f>'January 1, 2019'!I9*1.025</f>
        <v>3274.2135039862833</v>
      </c>
      <c r="K9" s="64"/>
      <c r="L9" s="64"/>
      <c r="M9" s="81"/>
      <c r="N9" s="72" t="s">
        <v>143</v>
      </c>
      <c r="Y9" s="100"/>
      <c r="Z9" s="100"/>
      <c r="AA9" s="100"/>
      <c r="AB9" s="100"/>
      <c r="AC9" s="100"/>
      <c r="AD9" s="100"/>
    </row>
    <row r="10" spans="1:37" ht="18.75" customHeight="1">
      <c r="B10" s="63" t="s">
        <v>27</v>
      </c>
      <c r="C10" s="63" t="s">
        <v>115</v>
      </c>
      <c r="D10" s="63" t="s">
        <v>150</v>
      </c>
      <c r="E10" s="59" t="s">
        <v>28</v>
      </c>
      <c r="F10" s="59"/>
      <c r="G10" s="63" t="s">
        <v>17</v>
      </c>
      <c r="H10" s="64">
        <f>'January 1, 2019'!G10*1.025</f>
        <v>2970.0473798326461</v>
      </c>
      <c r="I10" s="64">
        <f>'January 1, 2019'!H10*1.025</f>
        <v>3086.676229194054</v>
      </c>
      <c r="J10" s="64">
        <f>'January 1, 2019'!I10*1.025</f>
        <v>3274.2135039862833</v>
      </c>
      <c r="K10" s="64"/>
      <c r="L10" s="64"/>
      <c r="M10" s="81"/>
      <c r="N10" s="72" t="s">
        <v>144</v>
      </c>
      <c r="Y10" s="100"/>
      <c r="Z10" s="100"/>
      <c r="AA10" s="100"/>
      <c r="AB10" s="100"/>
      <c r="AC10" s="100"/>
      <c r="AD10" s="100"/>
    </row>
    <row r="11" spans="1:37" ht="18.75" customHeight="1">
      <c r="B11" s="63" t="s">
        <v>29</v>
      </c>
      <c r="C11" s="63" t="s">
        <v>115</v>
      </c>
      <c r="D11" s="63" t="s">
        <v>152</v>
      </c>
      <c r="E11" s="59" t="s">
        <v>30</v>
      </c>
      <c r="F11" s="59"/>
      <c r="G11" s="63" t="s">
        <v>17</v>
      </c>
      <c r="H11" s="64">
        <f>'January 1, 2019'!G11*1.025</f>
        <v>3366.5854676614304</v>
      </c>
      <c r="I11" s="64">
        <f>'January 1, 2019'!H11*1.025</f>
        <v>3500.0607063750408</v>
      </c>
      <c r="J11" s="64">
        <f>'January 1, 2019'!I11*1.025</f>
        <v>3714.2890637882888</v>
      </c>
      <c r="K11" s="64"/>
      <c r="L11" s="64"/>
      <c r="M11" s="81"/>
      <c r="N11" s="72" t="s">
        <v>144</v>
      </c>
      <c r="Y11" s="100"/>
      <c r="Z11" s="100"/>
      <c r="AA11" s="100"/>
      <c r="AB11" s="100"/>
      <c r="AC11" s="100"/>
      <c r="AD11" s="100"/>
    </row>
    <row r="12" spans="1:37" ht="18.75" customHeight="1">
      <c r="B12" s="63" t="s">
        <v>31</v>
      </c>
      <c r="C12" s="63" t="s">
        <v>115</v>
      </c>
      <c r="D12" s="63" t="s">
        <v>153</v>
      </c>
      <c r="E12" s="59" t="s">
        <v>32</v>
      </c>
      <c r="F12" s="59"/>
      <c r="G12" s="63" t="s">
        <v>17</v>
      </c>
      <c r="H12" s="64">
        <f>'January 1, 2019'!G12*1.025</f>
        <v>3366.5854676614304</v>
      </c>
      <c r="I12" s="64">
        <f>'January 1, 2019'!H12*1.025</f>
        <v>3500.0607063750408</v>
      </c>
      <c r="J12" s="64">
        <f>'January 1, 2019'!I12*1.025</f>
        <v>3714.2890637882888</v>
      </c>
      <c r="K12" s="64"/>
      <c r="L12" s="64"/>
      <c r="M12" s="81"/>
      <c r="N12" s="72" t="s">
        <v>143</v>
      </c>
      <c r="Y12" s="100"/>
      <c r="Z12" s="100"/>
      <c r="AA12" s="100"/>
      <c r="AB12" s="100"/>
      <c r="AC12" s="100"/>
      <c r="AD12" s="100"/>
    </row>
    <row r="13" spans="1:37" ht="18.75" customHeight="1">
      <c r="B13" s="63" t="s">
        <v>33</v>
      </c>
      <c r="C13" s="63" t="s">
        <v>115</v>
      </c>
      <c r="D13" s="63" t="s">
        <v>152</v>
      </c>
      <c r="E13" s="59" t="s">
        <v>34</v>
      </c>
      <c r="F13" s="59"/>
      <c r="G13" s="63" t="s">
        <v>17</v>
      </c>
      <c r="H13" s="64">
        <f>'January 1, 2019'!G13*1.025</f>
        <v>3366.5854676614304</v>
      </c>
      <c r="I13" s="64">
        <f>'January 1, 2019'!H13*1.025</f>
        <v>3500.0607063750408</v>
      </c>
      <c r="J13" s="64">
        <f>'January 1, 2019'!I13*1.025</f>
        <v>3714.2890637882888</v>
      </c>
      <c r="K13" s="64"/>
      <c r="L13" s="64"/>
      <c r="M13" s="81"/>
      <c r="N13" s="72" t="s">
        <v>144</v>
      </c>
      <c r="Y13" s="100"/>
      <c r="Z13" s="100"/>
      <c r="AA13" s="100"/>
      <c r="AB13" s="100"/>
      <c r="AC13" s="100"/>
      <c r="AD13" s="100"/>
    </row>
    <row r="14" spans="1:37" ht="18.75" customHeight="1">
      <c r="B14" s="63" t="s">
        <v>35</v>
      </c>
      <c r="C14" s="63" t="s">
        <v>115</v>
      </c>
      <c r="D14" s="63" t="s">
        <v>153</v>
      </c>
      <c r="E14" s="59" t="s">
        <v>36</v>
      </c>
      <c r="F14" s="59"/>
      <c r="G14" s="63" t="s">
        <v>17</v>
      </c>
      <c r="H14" s="64">
        <f>'January 1, 2019'!G14*1.025</f>
        <v>3366.5854676614304</v>
      </c>
      <c r="I14" s="64">
        <f>'January 1, 2019'!H14*1.025</f>
        <v>3500.0607063750408</v>
      </c>
      <c r="J14" s="64">
        <f>'January 1, 2019'!I14*1.025</f>
        <v>3714.2890637882888</v>
      </c>
      <c r="K14" s="64"/>
      <c r="L14" s="64"/>
      <c r="M14" s="81"/>
      <c r="N14" s="72" t="s">
        <v>143</v>
      </c>
      <c r="Y14" s="100"/>
      <c r="Z14" s="100"/>
      <c r="AA14" s="100"/>
      <c r="AB14" s="100"/>
      <c r="AC14" s="100"/>
      <c r="AD14" s="100"/>
    </row>
    <row r="15" spans="1:37" ht="18.75" customHeight="1">
      <c r="B15" s="63" t="s">
        <v>37</v>
      </c>
      <c r="C15" s="63" t="s">
        <v>115</v>
      </c>
      <c r="D15" s="63" t="s">
        <v>152</v>
      </c>
      <c r="E15" s="59" t="s">
        <v>38</v>
      </c>
      <c r="F15" s="59"/>
      <c r="G15" s="63" t="s">
        <v>17</v>
      </c>
      <c r="H15" s="64">
        <f>'January 1, 2019'!G15*1.025</f>
        <v>3366.5854676614304</v>
      </c>
      <c r="I15" s="64">
        <f>'January 1, 2019'!H15*1.025</f>
        <v>3500.0607063750408</v>
      </c>
      <c r="J15" s="64">
        <f>'January 1, 2019'!I15*1.025</f>
        <v>3714.2890637882888</v>
      </c>
      <c r="K15" s="64"/>
      <c r="L15" s="64"/>
      <c r="M15" s="81"/>
      <c r="N15" s="72" t="s">
        <v>144</v>
      </c>
      <c r="Y15" s="100"/>
      <c r="Z15" s="100"/>
      <c r="AA15" s="100"/>
      <c r="AB15" s="100"/>
      <c r="AC15" s="100"/>
      <c r="AD15" s="100"/>
    </row>
    <row r="16" spans="1:37" ht="18.75" customHeight="1">
      <c r="B16" s="63" t="s">
        <v>41</v>
      </c>
      <c r="C16" s="63" t="s">
        <v>115</v>
      </c>
      <c r="D16" s="63" t="s">
        <v>154</v>
      </c>
      <c r="E16" s="65" t="s">
        <v>113</v>
      </c>
      <c r="F16" s="59"/>
      <c r="G16" s="63" t="s">
        <v>17</v>
      </c>
      <c r="H16" s="64">
        <f>'January 1, 2019'!G16*1.025</f>
        <v>3445.6339100063833</v>
      </c>
      <c r="I16" s="64">
        <f>'January 1, 2019'!H16*1.025</f>
        <v>3503.9483346870879</v>
      </c>
      <c r="J16" s="64">
        <f>'January 1, 2019'!I16*1.025</f>
        <v>3563.5586354718066</v>
      </c>
      <c r="K16" s="64">
        <f>'January 1, 2019'!J16*1.025</f>
        <v>3623.1689362565266</v>
      </c>
      <c r="L16" s="64">
        <f>'January 1, 2019'!K16*1.025</f>
        <v>3844.190885657556</v>
      </c>
      <c r="M16" s="81"/>
      <c r="N16" s="72" t="s">
        <v>144</v>
      </c>
      <c r="Y16" s="100"/>
      <c r="Z16" s="100"/>
      <c r="AA16" s="100"/>
      <c r="AB16" s="100"/>
      <c r="AC16" s="100"/>
      <c r="AD16" s="100"/>
    </row>
    <row r="17" spans="2:30" ht="18.75" customHeight="1">
      <c r="B17" s="63" t="s">
        <v>39</v>
      </c>
      <c r="C17" s="63" t="s">
        <v>115</v>
      </c>
      <c r="D17" s="63" t="s">
        <v>155</v>
      </c>
      <c r="E17" s="59" t="s">
        <v>42</v>
      </c>
      <c r="F17" s="58"/>
      <c r="G17" s="63" t="s">
        <v>17</v>
      </c>
      <c r="H17" s="64">
        <f>'January 1, 2019'!G17*1.025</f>
        <v>3445.6339100063833</v>
      </c>
      <c r="I17" s="64">
        <f>'January 1, 2019'!H17*1.025</f>
        <v>3503.9483346870879</v>
      </c>
      <c r="J17" s="64">
        <f>'January 1, 2019'!I17*1.025</f>
        <v>3563.5586354718066</v>
      </c>
      <c r="K17" s="64">
        <f>'January 1, 2019'!J17*1.025</f>
        <v>3623.1689362565266</v>
      </c>
      <c r="L17" s="64">
        <f>'January 1, 2019'!K17*1.025</f>
        <v>3844.190885657556</v>
      </c>
      <c r="M17" s="81"/>
      <c r="N17" s="72" t="s">
        <v>143</v>
      </c>
      <c r="Y17" s="100"/>
      <c r="Z17" s="100"/>
      <c r="AA17" s="100"/>
      <c r="AB17" s="100"/>
      <c r="AC17" s="100"/>
      <c r="AD17" s="100"/>
    </row>
    <row r="18" spans="2:30" ht="27.75" customHeight="1">
      <c r="B18" s="41" t="s">
        <v>107</v>
      </c>
      <c r="D18" s="46"/>
      <c r="H18" s="46"/>
      <c r="I18" s="46"/>
      <c r="J18" s="46"/>
      <c r="K18" s="46"/>
      <c r="L18" s="46"/>
      <c r="M18" s="46"/>
    </row>
    <row r="19" spans="2:30" ht="17.25" customHeight="1">
      <c r="B19" s="50" t="s">
        <v>50</v>
      </c>
      <c r="D19" s="46"/>
      <c r="H19" s="46"/>
      <c r="I19" s="46"/>
      <c r="J19" s="46"/>
      <c r="K19" s="46"/>
      <c r="L19" s="46"/>
      <c r="M19" s="46"/>
    </row>
    <row r="20" spans="2:30" ht="17.25" customHeight="1">
      <c r="B20" s="42" t="s">
        <v>51</v>
      </c>
      <c r="D20" s="46"/>
      <c r="H20" s="46"/>
      <c r="I20" s="46"/>
      <c r="J20" s="46"/>
      <c r="K20" s="46"/>
      <c r="L20" s="46"/>
      <c r="M20" s="46"/>
    </row>
    <row r="21" spans="2:30" ht="17.25" customHeight="1">
      <c r="B21" s="50" t="s">
        <v>52</v>
      </c>
      <c r="C21" s="46"/>
      <c r="D21" s="46"/>
    </row>
    <row r="22" spans="2:30" ht="17.25" customHeight="1">
      <c r="B22" s="50"/>
      <c r="C22" s="46"/>
      <c r="D22" s="46"/>
    </row>
    <row r="23" spans="2:30" ht="27.75" customHeight="1">
      <c r="B23" s="41" t="s">
        <v>136</v>
      </c>
      <c r="C23" s="292" t="s">
        <v>188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30" ht="27.75" customHeight="1">
      <c r="B24" s="41"/>
      <c r="C24" s="103"/>
      <c r="D24" s="103"/>
      <c r="E24" s="103"/>
      <c r="F24" s="103"/>
      <c r="G24" s="103"/>
      <c r="H24" s="103" t="s">
        <v>147</v>
      </c>
      <c r="I24" s="42" t="s">
        <v>145</v>
      </c>
      <c r="K24" s="72"/>
      <c r="L24" s="66"/>
      <c r="N24" s="42"/>
    </row>
    <row r="25" spans="2:30" ht="17.25" customHeight="1">
      <c r="B25" s="49">
        <f>15.8287536055732*1.025</f>
        <v>16.224472445712529</v>
      </c>
      <c r="C25" s="52" t="s">
        <v>161</v>
      </c>
      <c r="D25" s="52"/>
      <c r="E25" s="52"/>
      <c r="F25" s="52"/>
      <c r="G25" s="52"/>
      <c r="H25" s="102">
        <f t="shared" ref="H25:H43" si="0">B25/109.2</f>
        <v>0.14857575499736747</v>
      </c>
      <c r="I25" s="136">
        <f t="shared" ref="I25:I38" si="1">I47</f>
        <v>0.2028059055714066</v>
      </c>
      <c r="J25" s="85"/>
      <c r="K25" s="72"/>
      <c r="L25" s="66"/>
      <c r="N25" s="42"/>
    </row>
    <row r="26" spans="2:30" ht="17.25" customHeight="1">
      <c r="B26" s="49">
        <f>22.449931584375*1.025</f>
        <v>23.011179873984375</v>
      </c>
      <c r="C26" s="52" t="s">
        <v>162</v>
      </c>
      <c r="D26" s="52"/>
      <c r="E26" s="52"/>
      <c r="F26" s="52"/>
      <c r="G26" s="52"/>
      <c r="H26" s="102">
        <f t="shared" si="0"/>
        <v>0.21072509042110232</v>
      </c>
      <c r="I26" s="136">
        <f t="shared" si="1"/>
        <v>0.28763974842480466</v>
      </c>
      <c r="J26" s="85"/>
      <c r="K26" s="72"/>
      <c r="L26" s="66"/>
      <c r="N26" s="42"/>
    </row>
    <row r="27" spans="2:30" ht="17.25" customHeight="1">
      <c r="B27" s="49">
        <f>29.0711095631769*1.025</f>
        <v>29.797887302256321</v>
      </c>
      <c r="C27" s="52" t="s">
        <v>163</v>
      </c>
      <c r="D27" s="53"/>
      <c r="E27" s="53"/>
      <c r="F27" s="53"/>
      <c r="G27" s="53"/>
      <c r="H27" s="102">
        <f t="shared" si="0"/>
        <v>0.27287442584483812</v>
      </c>
      <c r="I27" s="136">
        <f t="shared" si="1"/>
        <v>0.37247359127820401</v>
      </c>
      <c r="J27" s="85"/>
      <c r="K27" s="72"/>
      <c r="L27" s="66"/>
      <c r="N27" s="42"/>
    </row>
    <row r="28" spans="2:30" ht="17.25" customHeight="1">
      <c r="B28" s="49">
        <f>35.6922875419788*1.025</f>
        <v>36.584594730528266</v>
      </c>
      <c r="C28" s="52" t="s">
        <v>164</v>
      </c>
      <c r="D28" s="53"/>
      <c r="E28" s="53"/>
      <c r="F28" s="53"/>
      <c r="G28" s="53"/>
      <c r="H28" s="102">
        <f t="shared" si="0"/>
        <v>0.33502376126857386</v>
      </c>
      <c r="I28" s="136">
        <f t="shared" si="1"/>
        <v>0.45730743413160335</v>
      </c>
      <c r="J28" s="85"/>
      <c r="K28" s="72"/>
      <c r="L28" s="66"/>
      <c r="N28" s="42"/>
    </row>
    <row r="29" spans="2:30" ht="17.25" customHeight="1">
      <c r="B29" s="49">
        <f>42.3134655207806*1.025</f>
        <v>43.371302158800113</v>
      </c>
      <c r="C29" s="52" t="s">
        <v>165</v>
      </c>
      <c r="D29" s="53"/>
      <c r="E29" s="53"/>
      <c r="F29" s="53"/>
      <c r="G29" s="53"/>
      <c r="H29" s="102">
        <f t="shared" si="0"/>
        <v>0.39717309669230871</v>
      </c>
      <c r="I29" s="136">
        <f t="shared" si="1"/>
        <v>0.54214127698500136</v>
      </c>
      <c r="J29" s="85"/>
      <c r="K29" s="72"/>
      <c r="L29" s="66"/>
      <c r="N29" s="42"/>
    </row>
    <row r="30" spans="2:30" ht="17.25" customHeight="1">
      <c r="B30" s="49">
        <f>127.884431703851*1.025</f>
        <v>131.08154249644727</v>
      </c>
      <c r="C30" s="52" t="s">
        <v>166</v>
      </c>
      <c r="D30" s="53"/>
      <c r="E30" s="53"/>
      <c r="F30" s="53"/>
      <c r="G30" s="53"/>
      <c r="H30" s="102">
        <f t="shared" si="0"/>
        <v>1.2003804257916417</v>
      </c>
      <c r="I30" s="136">
        <f t="shared" si="1"/>
        <v>1.6385192812055909</v>
      </c>
      <c r="J30" s="85"/>
      <c r="K30" s="72"/>
      <c r="L30" s="66"/>
      <c r="N30" s="42"/>
    </row>
    <row r="31" spans="2:30" ht="17.25" customHeight="1">
      <c r="B31" s="49">
        <f>135.074617165206*1.025</f>
        <v>138.45148259433614</v>
      </c>
      <c r="C31" s="52" t="s">
        <v>167</v>
      </c>
      <c r="H31" s="102">
        <f t="shared" si="0"/>
        <v>1.267870719728353</v>
      </c>
      <c r="I31" s="136">
        <f t="shared" si="1"/>
        <v>1.7306435324292018</v>
      </c>
      <c r="J31" s="85"/>
      <c r="K31" s="72"/>
      <c r="L31" s="66"/>
      <c r="N31" s="42"/>
    </row>
    <row r="32" spans="2:30" ht="17.25" customHeight="1">
      <c r="B32" s="49">
        <f>142.251870638321*1.025</f>
        <v>145.80816740427903</v>
      </c>
      <c r="C32" s="52" t="s">
        <v>168</v>
      </c>
      <c r="H32" s="102">
        <f t="shared" si="0"/>
        <v>1.3352396282443135</v>
      </c>
      <c r="I32" s="136">
        <f t="shared" si="1"/>
        <v>1.8226020925534878</v>
      </c>
      <c r="J32" s="85"/>
      <c r="K32" s="72"/>
      <c r="L32" s="66"/>
      <c r="N32" s="42"/>
    </row>
    <row r="33" spans="2:16" ht="17.25" customHeight="1">
      <c r="B33" s="49">
        <f>186.065446794924*1.025</f>
        <v>190.71708296479707</v>
      </c>
      <c r="C33" s="52" t="s">
        <v>169</v>
      </c>
      <c r="H33" s="102">
        <f t="shared" si="0"/>
        <v>1.7464934337435629</v>
      </c>
      <c r="I33" s="136">
        <f t="shared" si="1"/>
        <v>2.3839635370599632</v>
      </c>
      <c r="J33" s="85"/>
      <c r="K33" s="72"/>
      <c r="L33" s="66"/>
      <c r="N33" s="42"/>
    </row>
    <row r="34" spans="2:16" ht="17.25" customHeight="1">
      <c r="B34" s="49">
        <f>193.242700268039*1.025</f>
        <v>198.07376777473993</v>
      </c>
      <c r="C34" s="52" t="s">
        <v>170</v>
      </c>
      <c r="H34" s="102">
        <f t="shared" si="0"/>
        <v>1.8138623422595233</v>
      </c>
      <c r="I34" s="136">
        <f t="shared" si="1"/>
        <v>2.4759220971842493</v>
      </c>
      <c r="J34" s="85"/>
      <c r="K34" s="72"/>
      <c r="L34" s="66"/>
      <c r="N34" s="42"/>
    </row>
    <row r="35" spans="2:16" ht="17.25" customHeight="1">
      <c r="B35" s="49">
        <f>200.432885729394*1.025</f>
        <v>205.44370787262883</v>
      </c>
      <c r="C35" s="52" t="s">
        <v>171</v>
      </c>
      <c r="H35" s="102">
        <f t="shared" si="0"/>
        <v>1.8813526361962347</v>
      </c>
      <c r="I35" s="136">
        <f t="shared" si="1"/>
        <v>2.5680463484078606</v>
      </c>
      <c r="J35" s="85"/>
      <c r="K35" s="72"/>
      <c r="L35" s="66"/>
      <c r="N35" s="42"/>
    </row>
    <row r="36" spans="2:16" ht="17.25" customHeight="1">
      <c r="B36" s="49">
        <f>207.62307119075*1.025</f>
        <v>212.81364797051873</v>
      </c>
      <c r="C36" s="52" t="s">
        <v>172</v>
      </c>
      <c r="H36" s="102">
        <f t="shared" si="0"/>
        <v>1.9488429301329553</v>
      </c>
      <c r="I36" s="136">
        <f t="shared" si="1"/>
        <v>2.6601705996314839</v>
      </c>
      <c r="J36" s="85"/>
      <c r="K36" s="72"/>
      <c r="L36" s="66"/>
      <c r="N36" s="42"/>
    </row>
    <row r="37" spans="2:16" ht="17.25" customHeight="1">
      <c r="B37" s="49">
        <f>228.003884656749*1.025</f>
        <v>233.7039817731677</v>
      </c>
      <c r="C37" s="52" t="s">
        <v>173</v>
      </c>
      <c r="H37" s="102">
        <f t="shared" si="0"/>
        <v>2.1401463532341363</v>
      </c>
      <c r="I37" s="136">
        <f t="shared" si="1"/>
        <v>2.9212997721645961</v>
      </c>
      <c r="J37" s="85"/>
      <c r="K37" s="72"/>
      <c r="L37" s="66"/>
      <c r="N37" s="42"/>
    </row>
    <row r="38" spans="2:16" ht="17.25" customHeight="1">
      <c r="B38" s="49">
        <f>286.456471500859*1.025</f>
        <v>293.61788328838043</v>
      </c>
      <c r="C38" s="52" t="s">
        <v>174</v>
      </c>
      <c r="H38" s="102">
        <f t="shared" si="0"/>
        <v>2.6888084550217988</v>
      </c>
      <c r="I38" s="136">
        <f t="shared" si="1"/>
        <v>3.6702235411047552</v>
      </c>
      <c r="J38" s="85"/>
      <c r="K38" s="72"/>
      <c r="L38" s="66"/>
      <c r="N38" s="42"/>
    </row>
    <row r="39" spans="2:16" ht="17.25" customHeight="1">
      <c r="B39" s="49">
        <f>293.646656962214*1.025</f>
        <v>300.98782338626933</v>
      </c>
      <c r="C39" s="52" t="s">
        <v>175</v>
      </c>
      <c r="H39" s="102">
        <f t="shared" si="0"/>
        <v>2.7562987489585105</v>
      </c>
      <c r="I39" s="138">
        <v>3.762</v>
      </c>
      <c r="J39" s="85"/>
      <c r="K39" s="72"/>
      <c r="L39" s="66"/>
      <c r="M39" s="136"/>
      <c r="N39" s="42"/>
    </row>
    <row r="40" spans="2:16" ht="17.25" customHeight="1">
      <c r="B40" s="49">
        <f>300.836842423569*1.025</f>
        <v>308.35776348415823</v>
      </c>
      <c r="C40" s="52" t="s">
        <v>176</v>
      </c>
      <c r="H40" s="102">
        <f t="shared" si="0"/>
        <v>2.8237890428952217</v>
      </c>
      <c r="I40" s="136">
        <v>3.8540000000000001</v>
      </c>
      <c r="J40" s="85"/>
      <c r="K40" s="72"/>
      <c r="L40" s="66"/>
      <c r="M40" s="136"/>
      <c r="N40" s="42"/>
    </row>
    <row r="41" spans="2:16" ht="17.25" customHeight="1">
      <c r="B41" s="49">
        <f>308.027027884925*1.025</f>
        <v>315.72770358204809</v>
      </c>
      <c r="C41" s="52" t="s">
        <v>177</v>
      </c>
      <c r="H41" s="102">
        <f t="shared" si="0"/>
        <v>2.8912793368319423</v>
      </c>
      <c r="I41" s="136">
        <v>3.9470000000000001</v>
      </c>
      <c r="J41" s="85"/>
      <c r="K41" s="72"/>
      <c r="L41" s="66"/>
      <c r="M41" s="136"/>
      <c r="N41" s="42"/>
    </row>
    <row r="42" spans="2:16" ht="17.25" customHeight="1">
      <c r="B42" s="49">
        <f>315.21721334628*1.025</f>
        <v>323.09764367993699</v>
      </c>
      <c r="C42" s="52" t="s">
        <v>178</v>
      </c>
      <c r="H42" s="102">
        <f t="shared" si="0"/>
        <v>2.9587696307686535</v>
      </c>
      <c r="I42" s="136">
        <v>4.0389999999999997</v>
      </c>
      <c r="J42" s="85"/>
      <c r="K42" s="72"/>
      <c r="L42" s="66"/>
      <c r="M42" s="136"/>
      <c r="N42" s="42"/>
    </row>
    <row r="43" spans="2:16" ht="17.25" customHeight="1">
      <c r="B43" s="49">
        <f>344.365914838896*1.025</f>
        <v>352.97506270986838</v>
      </c>
      <c r="C43" s="52" t="s">
        <v>179</v>
      </c>
      <c r="H43" s="102">
        <f t="shared" si="0"/>
        <v>3.2323723691379889</v>
      </c>
      <c r="I43" s="136">
        <v>4.4119999999999999</v>
      </c>
      <c r="J43" s="85"/>
      <c r="K43" s="72"/>
      <c r="L43" s="66"/>
      <c r="M43" s="136"/>
      <c r="N43" s="42"/>
    </row>
    <row r="44" spans="2:16">
      <c r="B44" s="49">
        <f>H66*109.2</f>
        <v>455.69159999999999</v>
      </c>
      <c r="C44" s="52" t="s">
        <v>180</v>
      </c>
      <c r="O44" s="66"/>
      <c r="P44" s="94"/>
    </row>
    <row r="45" spans="2:16" ht="27.75" customHeight="1">
      <c r="B45" s="41" t="s">
        <v>136</v>
      </c>
      <c r="C45" s="292" t="s">
        <v>181</v>
      </c>
      <c r="D45" s="292"/>
      <c r="E45" s="292"/>
      <c r="F45" s="292"/>
      <c r="G45" s="292"/>
      <c r="H45" s="292"/>
      <c r="I45" s="292"/>
      <c r="J45" s="292"/>
      <c r="K45" s="292"/>
      <c r="L45" s="292"/>
      <c r="M45" s="292"/>
    </row>
    <row r="46" spans="2:16" ht="27.75" customHeight="1">
      <c r="B46" s="41"/>
      <c r="C46" s="103"/>
      <c r="D46" s="103"/>
      <c r="E46" s="103"/>
      <c r="F46" s="103"/>
      <c r="G46" s="103"/>
      <c r="H46" s="103" t="s">
        <v>204</v>
      </c>
      <c r="I46" s="103" t="s">
        <v>229</v>
      </c>
      <c r="J46" s="103"/>
      <c r="M46" s="103"/>
      <c r="N46" s="66"/>
    </row>
    <row r="47" spans="2:16" ht="17.25" customHeight="1">
      <c r="B47" s="49">
        <f>15.8287536055732*1.025</f>
        <v>16.224472445712529</v>
      </c>
      <c r="C47" s="52" t="s">
        <v>161</v>
      </c>
      <c r="D47" s="52"/>
      <c r="E47" s="52"/>
      <c r="F47" s="52"/>
      <c r="G47" s="52"/>
      <c r="H47" s="102">
        <f t="shared" ref="H47:H60" si="2">H25</f>
        <v>0.14857575499736747</v>
      </c>
      <c r="I47" s="102">
        <f t="shared" ref="I47:I66" si="3">B47/80</f>
        <v>0.2028059055714066</v>
      </c>
      <c r="J47" s="139"/>
      <c r="M47" s="52"/>
      <c r="N47" s="66"/>
    </row>
    <row r="48" spans="2:16" ht="17.25" customHeight="1">
      <c r="B48" s="49">
        <f>22.449931584375*1.025</f>
        <v>23.011179873984375</v>
      </c>
      <c r="C48" s="52" t="s">
        <v>162</v>
      </c>
      <c r="D48" s="52"/>
      <c r="E48" s="52"/>
      <c r="F48" s="52"/>
      <c r="G48" s="52"/>
      <c r="H48" s="102">
        <f t="shared" si="2"/>
        <v>0.21072509042110232</v>
      </c>
      <c r="I48" s="102">
        <f t="shared" si="3"/>
        <v>0.28763974842480466</v>
      </c>
      <c r="J48" s="139"/>
      <c r="M48" s="52"/>
      <c r="N48" s="66"/>
    </row>
    <row r="49" spans="2:15" ht="17.25" customHeight="1">
      <c r="B49" s="49">
        <f>29.0711095631769*1.025</f>
        <v>29.797887302256321</v>
      </c>
      <c r="C49" s="52" t="s">
        <v>163</v>
      </c>
      <c r="D49" s="53"/>
      <c r="E49" s="53"/>
      <c r="F49" s="53"/>
      <c r="G49" s="53"/>
      <c r="H49" s="102">
        <f t="shared" si="2"/>
        <v>0.27287442584483812</v>
      </c>
      <c r="I49" s="102">
        <f t="shared" si="3"/>
        <v>0.37247359127820401</v>
      </c>
      <c r="J49" s="139"/>
      <c r="M49" s="53"/>
      <c r="N49" s="66"/>
    </row>
    <row r="50" spans="2:15" ht="17.25" customHeight="1">
      <c r="B50" s="49">
        <f>35.6922875419788*1.025</f>
        <v>36.584594730528266</v>
      </c>
      <c r="C50" s="52" t="s">
        <v>164</v>
      </c>
      <c r="D50" s="53"/>
      <c r="E50" s="53"/>
      <c r="F50" s="53"/>
      <c r="G50" s="53"/>
      <c r="H50" s="102">
        <f t="shared" si="2"/>
        <v>0.33502376126857386</v>
      </c>
      <c r="I50" s="102">
        <f t="shared" si="3"/>
        <v>0.45730743413160335</v>
      </c>
      <c r="J50" s="139"/>
      <c r="M50" s="53"/>
      <c r="N50" s="66"/>
    </row>
    <row r="51" spans="2:15" ht="17.25" customHeight="1">
      <c r="B51" s="49">
        <f>42.3134655207806*1.025</f>
        <v>43.371302158800113</v>
      </c>
      <c r="C51" s="52" t="s">
        <v>165</v>
      </c>
      <c r="D51" s="53"/>
      <c r="E51" s="53"/>
      <c r="F51" s="53"/>
      <c r="G51" s="53"/>
      <c r="H51" s="102">
        <f t="shared" si="2"/>
        <v>0.39717309669230871</v>
      </c>
      <c r="I51" s="102">
        <f t="shared" si="3"/>
        <v>0.54214127698500136</v>
      </c>
      <c r="J51" s="139"/>
      <c r="M51" s="53"/>
      <c r="N51" s="66"/>
    </row>
    <row r="52" spans="2:15" ht="17.25" customHeight="1">
      <c r="B52" s="49">
        <f>127.884431703851*1.025</f>
        <v>131.08154249644727</v>
      </c>
      <c r="C52" s="52" t="s">
        <v>166</v>
      </c>
      <c r="D52" s="53"/>
      <c r="E52" s="53"/>
      <c r="F52" s="53"/>
      <c r="G52" s="95"/>
      <c r="H52" s="102">
        <f t="shared" si="2"/>
        <v>1.2003804257916417</v>
      </c>
      <c r="I52" s="102">
        <f t="shared" si="3"/>
        <v>1.6385192812055909</v>
      </c>
      <c r="J52" s="139"/>
      <c r="M52" s="95"/>
      <c r="N52" s="66"/>
    </row>
    <row r="53" spans="2:15" ht="17.25" customHeight="1">
      <c r="B53" s="49">
        <f>135.074617165206*1.025</f>
        <v>138.45148259433614</v>
      </c>
      <c r="C53" s="52" t="s">
        <v>167</v>
      </c>
      <c r="H53" s="102">
        <f t="shared" si="2"/>
        <v>1.267870719728353</v>
      </c>
      <c r="I53" s="102">
        <f t="shared" si="3"/>
        <v>1.7306435324292018</v>
      </c>
      <c r="J53" s="139"/>
      <c r="N53" s="66"/>
      <c r="O53" s="96"/>
    </row>
    <row r="54" spans="2:15" ht="17.25" customHeight="1">
      <c r="B54" s="49">
        <f>142.251870638321*1.025</f>
        <v>145.80816740427903</v>
      </c>
      <c r="C54" s="52" t="s">
        <v>168</v>
      </c>
      <c r="H54" s="102">
        <f t="shared" si="2"/>
        <v>1.3352396282443135</v>
      </c>
      <c r="I54" s="102">
        <f t="shared" si="3"/>
        <v>1.8226020925534878</v>
      </c>
      <c r="J54" s="139"/>
      <c r="N54" s="66"/>
    </row>
    <row r="55" spans="2:15" ht="17.25" customHeight="1">
      <c r="B55" s="49">
        <f>186.065446794924*1.025</f>
        <v>190.71708296479707</v>
      </c>
      <c r="C55" s="52" t="s">
        <v>169</v>
      </c>
      <c r="H55" s="102">
        <f t="shared" si="2"/>
        <v>1.7464934337435629</v>
      </c>
      <c r="I55" s="102">
        <f t="shared" si="3"/>
        <v>2.3839635370599632</v>
      </c>
      <c r="J55" s="139"/>
      <c r="N55" s="66"/>
    </row>
    <row r="56" spans="2:15" ht="17.25" customHeight="1">
      <c r="B56" s="49">
        <f>193.242700268039*1.025</f>
        <v>198.07376777473993</v>
      </c>
      <c r="C56" s="52" t="s">
        <v>170</v>
      </c>
      <c r="H56" s="102">
        <f t="shared" si="2"/>
        <v>1.8138623422595233</v>
      </c>
      <c r="I56" s="102">
        <f t="shared" si="3"/>
        <v>2.4759220971842493</v>
      </c>
      <c r="J56" s="139"/>
      <c r="N56" s="66"/>
    </row>
    <row r="57" spans="2:15" ht="17.25" customHeight="1">
      <c r="B57" s="49">
        <f>200.432885729394*1.025</f>
        <v>205.44370787262883</v>
      </c>
      <c r="C57" s="52" t="s">
        <v>171</v>
      </c>
      <c r="H57" s="102">
        <f t="shared" si="2"/>
        <v>1.8813526361962347</v>
      </c>
      <c r="I57" s="102">
        <f t="shared" si="3"/>
        <v>2.5680463484078606</v>
      </c>
      <c r="J57" s="139"/>
      <c r="N57" s="66"/>
    </row>
    <row r="58" spans="2:15" ht="17.25" customHeight="1">
      <c r="B58" s="49">
        <f>207.62307119075*1.025</f>
        <v>212.81364797051873</v>
      </c>
      <c r="C58" s="52" t="s">
        <v>172</v>
      </c>
      <c r="H58" s="102">
        <f t="shared" si="2"/>
        <v>1.9488429301329553</v>
      </c>
      <c r="I58" s="102">
        <f t="shared" si="3"/>
        <v>2.6601705996314839</v>
      </c>
      <c r="J58" s="139"/>
      <c r="N58" s="66"/>
    </row>
    <row r="59" spans="2:15" ht="17.25" customHeight="1">
      <c r="B59" s="49">
        <f>228.003884656749*1.025</f>
        <v>233.7039817731677</v>
      </c>
      <c r="C59" s="52" t="s">
        <v>173</v>
      </c>
      <c r="H59" s="102">
        <f t="shared" si="2"/>
        <v>2.1401463532341363</v>
      </c>
      <c r="I59" s="102">
        <f t="shared" si="3"/>
        <v>2.9212997721645961</v>
      </c>
      <c r="J59" s="139"/>
      <c r="N59" s="66"/>
    </row>
    <row r="60" spans="2:15" ht="17.25" customHeight="1">
      <c r="B60" s="49">
        <f>286.456471500859*1.025</f>
        <v>293.61788328838043</v>
      </c>
      <c r="C60" s="52" t="s">
        <v>174</v>
      </c>
      <c r="H60" s="102">
        <f t="shared" si="2"/>
        <v>2.6888084550217988</v>
      </c>
      <c r="I60" s="102">
        <f t="shared" si="3"/>
        <v>3.6702235411047552</v>
      </c>
      <c r="J60" s="139"/>
      <c r="N60" s="66"/>
    </row>
    <row r="61" spans="2:15" ht="17.25" customHeight="1">
      <c r="B61" s="49">
        <v>345.87257338626961</v>
      </c>
      <c r="C61" s="52" t="s">
        <v>175</v>
      </c>
      <c r="H61" s="102">
        <v>3.1669999999999998</v>
      </c>
      <c r="I61" s="102">
        <f t="shared" si="3"/>
        <v>4.3234071673283703</v>
      </c>
      <c r="J61" s="139"/>
      <c r="M61" s="94"/>
      <c r="N61" s="66"/>
      <c r="O61" s="94"/>
    </row>
    <row r="62" spans="2:15" ht="17.25" customHeight="1">
      <c r="B62" s="49">
        <v>353.24251348415862</v>
      </c>
      <c r="C62" s="52" t="s">
        <v>176</v>
      </c>
      <c r="H62" s="102">
        <v>3.2349999999999999</v>
      </c>
      <c r="I62" s="102">
        <f t="shared" si="3"/>
        <v>4.4155314185519829</v>
      </c>
      <c r="J62" s="139"/>
      <c r="N62" s="66"/>
      <c r="O62" s="94"/>
    </row>
    <row r="63" spans="2:15" ht="17.25" customHeight="1">
      <c r="B63" s="49">
        <v>360.61245358204769</v>
      </c>
      <c r="C63" s="52" t="s">
        <v>177</v>
      </c>
      <c r="H63" s="102">
        <v>3.302</v>
      </c>
      <c r="I63" s="102">
        <f t="shared" si="3"/>
        <v>4.5076556697755965</v>
      </c>
      <c r="J63" s="139"/>
      <c r="N63" s="66"/>
      <c r="O63" s="94"/>
    </row>
    <row r="64" spans="2:15" ht="17.25" customHeight="1">
      <c r="B64" s="49">
        <v>367.98239367993682</v>
      </c>
      <c r="C64" s="52" t="s">
        <v>178</v>
      </c>
      <c r="H64" s="102">
        <v>3.37</v>
      </c>
      <c r="I64" s="102">
        <f t="shared" si="3"/>
        <v>4.5997799209992101</v>
      </c>
      <c r="J64" s="139"/>
      <c r="N64" s="66"/>
      <c r="O64" s="94"/>
    </row>
    <row r="65" spans="2:15" ht="17.25" customHeight="1">
      <c r="B65" s="49">
        <v>397.85981270986821</v>
      </c>
      <c r="C65" s="52" t="s">
        <v>179</v>
      </c>
      <c r="H65" s="102">
        <v>3.6429999999999998</v>
      </c>
      <c r="I65" s="102">
        <f t="shared" si="3"/>
        <v>4.973247658873353</v>
      </c>
      <c r="J65" s="139"/>
      <c r="N65" s="66"/>
      <c r="O65" s="94"/>
    </row>
    <row r="66" spans="2:15" ht="17.25" customHeight="1">
      <c r="B66" s="49">
        <v>455.73131270986818</v>
      </c>
      <c r="C66" s="52" t="s">
        <v>180</v>
      </c>
      <c r="H66" s="102">
        <v>4.173</v>
      </c>
      <c r="I66" s="102">
        <f t="shared" si="3"/>
        <v>5.6966414088733526</v>
      </c>
      <c r="J66" s="139"/>
      <c r="N66" s="66"/>
    </row>
    <row r="67" spans="2:15" ht="17.25" customHeight="1">
      <c r="B67" s="49"/>
      <c r="C67" s="52"/>
      <c r="J67" s="102"/>
      <c r="M67" s="94"/>
      <c r="N67" s="42"/>
      <c r="O67" s="66"/>
    </row>
    <row r="68" spans="2:15">
      <c r="B68" s="50"/>
      <c r="C68" s="46"/>
      <c r="D68" s="46"/>
      <c r="H68" s="85"/>
      <c r="I68" s="85"/>
      <c r="J68" s="85"/>
    </row>
    <row r="69" spans="2:15">
      <c r="B69" s="50"/>
      <c r="C69" s="46"/>
      <c r="D69" s="46"/>
      <c r="H69" s="85"/>
      <c r="I69" s="85"/>
      <c r="J69" s="85"/>
    </row>
    <row r="70" spans="2:15">
      <c r="B70" s="50"/>
      <c r="C70" s="46"/>
      <c r="D70" s="46"/>
      <c r="H70" s="85"/>
      <c r="I70" s="85"/>
      <c r="J70" s="85"/>
    </row>
    <row r="71" spans="2:15">
      <c r="B71" s="50"/>
      <c r="C71" s="46"/>
      <c r="D71" s="46"/>
      <c r="H71" s="85"/>
      <c r="I71" s="85"/>
      <c r="J71" s="85"/>
    </row>
    <row r="72" spans="2:15">
      <c r="B72" s="43"/>
      <c r="C72" s="46"/>
      <c r="D72" s="46"/>
      <c r="H72" s="85"/>
      <c r="I72" s="85"/>
      <c r="J72" s="85"/>
    </row>
    <row r="73" spans="2:15">
      <c r="B73" s="41"/>
      <c r="C73" s="44"/>
      <c r="D73" s="44"/>
      <c r="E73" s="41"/>
      <c r="F73" s="41"/>
      <c r="G73" s="41"/>
      <c r="H73" s="85"/>
      <c r="I73" s="85"/>
      <c r="J73" s="85"/>
      <c r="K73" s="41"/>
      <c r="L73" s="41"/>
      <c r="M73" s="41"/>
      <c r="N73" s="77"/>
    </row>
    <row r="74" spans="2:15">
      <c r="B74" s="44"/>
      <c r="H74" s="102"/>
    </row>
    <row r="75" spans="2:15">
      <c r="B75" s="46"/>
      <c r="C75" s="44"/>
      <c r="D75" s="44"/>
      <c r="E75" s="44"/>
      <c r="F75" s="44"/>
      <c r="G75" s="44"/>
      <c r="H75" s="45" t="s">
        <v>187</v>
      </c>
      <c r="I75" s="45"/>
      <c r="J75" s="45"/>
      <c r="K75" s="45"/>
      <c r="L75" s="45"/>
      <c r="M75" s="45"/>
      <c r="N75" s="70"/>
    </row>
    <row r="76" spans="2:15">
      <c r="B76" s="46"/>
      <c r="C76" s="46"/>
      <c r="D76" s="46"/>
      <c r="G76" s="46"/>
      <c r="H76" s="46"/>
      <c r="I76" s="46"/>
      <c r="J76" s="46"/>
      <c r="K76" s="46"/>
      <c r="L76" s="46"/>
      <c r="M76" s="46"/>
    </row>
    <row r="77" spans="2:15">
      <c r="B77" s="46"/>
      <c r="C77" s="46"/>
      <c r="D77" s="46"/>
      <c r="G77" s="46"/>
      <c r="H77" s="46"/>
      <c r="I77" s="46"/>
      <c r="J77" s="46"/>
      <c r="K77" s="46"/>
      <c r="L77" s="46"/>
      <c r="M77" s="46"/>
    </row>
    <row r="78" spans="2:15">
      <c r="B78" s="46"/>
      <c r="C78" s="46"/>
      <c r="D78" s="46"/>
      <c r="G78" s="46"/>
      <c r="H78" s="46"/>
      <c r="I78" s="46"/>
      <c r="J78" s="46"/>
      <c r="K78" s="46"/>
      <c r="L78" s="46"/>
      <c r="M78" s="46"/>
    </row>
    <row r="79" spans="2:15">
      <c r="B79" s="46"/>
      <c r="C79" s="46"/>
      <c r="D79" s="46"/>
      <c r="G79" s="46"/>
      <c r="H79" s="46"/>
      <c r="I79" s="46"/>
      <c r="J79" s="46"/>
      <c r="K79" s="46"/>
      <c r="L79" s="46"/>
      <c r="M79" s="46"/>
    </row>
    <row r="80" spans="2:15">
      <c r="B80" s="46"/>
      <c r="C80" s="46"/>
      <c r="D80" s="46"/>
      <c r="G80" s="46"/>
      <c r="H80" s="46"/>
      <c r="I80" s="46"/>
      <c r="J80" s="46"/>
      <c r="K80" s="46"/>
      <c r="L80" s="46"/>
      <c r="M80" s="46"/>
    </row>
    <row r="81" spans="2:14">
      <c r="B81" s="46"/>
      <c r="C81" s="46"/>
      <c r="D81" s="46"/>
      <c r="G81" s="46"/>
      <c r="H81" s="46"/>
      <c r="I81" s="46" t="s">
        <v>187</v>
      </c>
      <c r="J81" s="46"/>
      <c r="K81" s="46"/>
      <c r="L81" s="46"/>
      <c r="M81" s="46"/>
    </row>
    <row r="82" spans="2:14">
      <c r="B82" s="46"/>
      <c r="C82" s="46"/>
      <c r="D82" s="46"/>
      <c r="G82" s="46"/>
      <c r="H82" s="46"/>
      <c r="I82" s="46"/>
      <c r="J82" s="46"/>
      <c r="K82" s="46"/>
      <c r="L82" s="46"/>
      <c r="M82" s="46"/>
    </row>
    <row r="83" spans="2:14">
      <c r="B83" s="46"/>
      <c r="C83" s="46"/>
      <c r="D83" s="46"/>
      <c r="G83" s="46"/>
      <c r="H83" s="46"/>
      <c r="I83" s="46"/>
      <c r="J83" s="46"/>
      <c r="K83" s="46"/>
      <c r="L83" s="46"/>
      <c r="M83" s="46"/>
    </row>
    <row r="84" spans="2:14">
      <c r="B84" s="46"/>
      <c r="C84" s="46"/>
      <c r="D84" s="46"/>
      <c r="G84" s="46"/>
      <c r="H84" s="46"/>
      <c r="I84" s="46"/>
      <c r="J84" s="46"/>
      <c r="K84" s="46"/>
      <c r="L84" s="46"/>
      <c r="M84" s="46"/>
    </row>
    <row r="85" spans="2:14">
      <c r="B85" s="46"/>
      <c r="C85" s="46"/>
      <c r="D85" s="46"/>
      <c r="G85" s="46"/>
      <c r="H85" s="46"/>
      <c r="I85" s="46"/>
      <c r="J85" s="46"/>
      <c r="K85" s="46"/>
      <c r="L85" s="46"/>
      <c r="M85" s="46"/>
    </row>
    <row r="86" spans="2:14">
      <c r="B86" s="41"/>
      <c r="C86" s="46"/>
      <c r="D86" s="46"/>
      <c r="E86" s="48"/>
      <c r="G86" s="46"/>
      <c r="H86" s="46"/>
      <c r="I86" s="46"/>
      <c r="J86" s="46"/>
      <c r="K86" s="46"/>
      <c r="L86" s="46"/>
      <c r="M86" s="46"/>
    </row>
    <row r="87" spans="2:14">
      <c r="B87" s="41"/>
      <c r="C87" s="41"/>
      <c r="D87" s="46"/>
      <c r="F87" s="41"/>
      <c r="G87" s="41"/>
      <c r="H87" s="46"/>
      <c r="I87" s="46"/>
      <c r="J87" s="46"/>
      <c r="K87" s="46"/>
      <c r="L87" s="46"/>
      <c r="M87" s="46"/>
    </row>
    <row r="88" spans="2:14">
      <c r="B88" s="41"/>
      <c r="C88" s="41"/>
      <c r="D88" s="41"/>
      <c r="E88" s="41"/>
      <c r="F88" s="41"/>
      <c r="G88" s="41"/>
      <c r="H88" s="41"/>
      <c r="I88" s="41"/>
      <c r="J88" s="41"/>
      <c r="K88" s="54"/>
      <c r="L88" s="54"/>
      <c r="M88" s="54"/>
      <c r="N88" s="77"/>
    </row>
    <row r="89" spans="2:14">
      <c r="B89" s="41"/>
      <c r="C89" s="41"/>
      <c r="D89" s="41"/>
      <c r="E89" s="41"/>
      <c r="F89" s="41"/>
      <c r="G89" s="41"/>
      <c r="H89" s="41"/>
      <c r="I89" s="41"/>
      <c r="J89" s="41"/>
      <c r="K89" s="54"/>
      <c r="L89" s="54"/>
      <c r="M89" s="54"/>
      <c r="N89" s="77"/>
    </row>
    <row r="90" spans="2:14">
      <c r="B90" s="41"/>
      <c r="C90" s="41"/>
      <c r="D90" s="41"/>
      <c r="E90" s="41"/>
      <c r="F90" s="41"/>
      <c r="G90" s="41"/>
      <c r="H90" s="41"/>
      <c r="I90" s="41"/>
      <c r="J90" s="41"/>
      <c r="K90" s="54"/>
      <c r="L90" s="54"/>
      <c r="M90" s="54"/>
      <c r="N90" s="77"/>
    </row>
    <row r="91" spans="2:14">
      <c r="B91" s="41"/>
      <c r="C91" s="41"/>
      <c r="D91" s="41"/>
      <c r="E91" s="41"/>
      <c r="F91" s="41"/>
      <c r="G91" s="41"/>
      <c r="H91" s="41"/>
      <c r="I91" s="41"/>
      <c r="J91" s="41"/>
      <c r="K91" s="54"/>
      <c r="L91" s="54"/>
      <c r="M91" s="54"/>
      <c r="N91" s="77"/>
    </row>
    <row r="92" spans="2:14">
      <c r="B92" s="41"/>
      <c r="C92" s="41"/>
      <c r="D92" s="41"/>
      <c r="E92" s="41"/>
      <c r="F92" s="41"/>
      <c r="G92" s="41"/>
      <c r="H92" s="41"/>
      <c r="I92" s="41"/>
      <c r="J92" s="41"/>
      <c r="K92" s="54"/>
      <c r="L92" s="54"/>
      <c r="M92" s="54"/>
      <c r="N92" s="77"/>
    </row>
    <row r="93" spans="2:14">
      <c r="B93" s="41"/>
      <c r="C93" s="41"/>
      <c r="D93" s="41"/>
      <c r="E93" s="41"/>
      <c r="F93" s="41"/>
      <c r="G93" s="41"/>
      <c r="H93" s="41"/>
      <c r="I93" s="41"/>
      <c r="J93" s="41"/>
      <c r="K93" s="54"/>
      <c r="L93" s="54"/>
      <c r="M93" s="54"/>
      <c r="N93" s="77"/>
    </row>
    <row r="94" spans="2:14">
      <c r="B94" s="41"/>
      <c r="C94" s="41"/>
      <c r="D94" s="41"/>
      <c r="E94" s="41"/>
      <c r="F94" s="41"/>
      <c r="G94" s="41"/>
      <c r="H94" s="41"/>
      <c r="I94" s="41"/>
      <c r="J94" s="41"/>
      <c r="K94" s="54"/>
      <c r="L94" s="54"/>
      <c r="M94" s="54"/>
      <c r="N94" s="77"/>
    </row>
    <row r="95" spans="2:14">
      <c r="B95" s="41"/>
      <c r="C95" s="41"/>
      <c r="D95" s="41"/>
      <c r="E95" s="41"/>
      <c r="F95" s="41"/>
      <c r="G95" s="41"/>
      <c r="H95" s="41"/>
      <c r="I95" s="41"/>
      <c r="J95" s="41"/>
      <c r="K95" s="54"/>
      <c r="L95" s="54"/>
      <c r="M95" s="54"/>
      <c r="N95" s="77"/>
    </row>
    <row r="96" spans="2:14">
      <c r="B96" s="41"/>
      <c r="C96" s="41"/>
      <c r="D96" s="41"/>
      <c r="E96" s="41"/>
      <c r="F96" s="41"/>
      <c r="G96" s="41"/>
      <c r="H96" s="41"/>
      <c r="I96" s="41"/>
      <c r="J96" s="41"/>
      <c r="K96" s="54"/>
      <c r="L96" s="54"/>
      <c r="M96" s="54"/>
      <c r="N96" s="77"/>
    </row>
    <row r="97" spans="2:14">
      <c r="C97" s="41"/>
      <c r="D97" s="41"/>
      <c r="E97" s="41"/>
      <c r="F97" s="41"/>
      <c r="G97" s="41"/>
      <c r="H97" s="41"/>
      <c r="I97" s="41"/>
      <c r="J97" s="41"/>
      <c r="K97" s="54"/>
      <c r="L97" s="54"/>
      <c r="M97" s="54"/>
      <c r="N97" s="77"/>
    </row>
    <row r="98" spans="2:14">
      <c r="B98" s="41"/>
      <c r="C98" s="52"/>
    </row>
    <row r="99" spans="2:14">
      <c r="B99" s="41"/>
    </row>
    <row r="100" spans="2:14">
      <c r="B100" s="51"/>
    </row>
    <row r="101" spans="2:14">
      <c r="B101" s="51"/>
      <c r="C101" s="288"/>
      <c r="D101" s="288"/>
      <c r="E101" s="288"/>
      <c r="F101" s="288"/>
      <c r="G101" s="288"/>
      <c r="H101" s="288"/>
      <c r="I101" s="288"/>
      <c r="J101" s="288"/>
      <c r="K101" s="288"/>
      <c r="L101" s="288"/>
      <c r="M101" s="288"/>
      <c r="N101" s="288"/>
    </row>
    <row r="102" spans="2:14">
      <c r="B102" s="51"/>
      <c r="C102" s="288"/>
      <c r="D102" s="288"/>
      <c r="E102" s="288"/>
      <c r="F102" s="288"/>
      <c r="G102" s="288"/>
      <c r="H102" s="288"/>
      <c r="I102" s="288"/>
      <c r="J102" s="288"/>
      <c r="K102" s="288"/>
      <c r="L102" s="288"/>
      <c r="M102" s="288"/>
      <c r="N102" s="288"/>
    </row>
    <row r="103" spans="2:14">
      <c r="B103" s="51"/>
      <c r="C103" s="52"/>
    </row>
    <row r="104" spans="2:14">
      <c r="B104" s="51"/>
      <c r="C104" s="52"/>
    </row>
    <row r="105" spans="2:14">
      <c r="B105" s="51"/>
      <c r="C105" s="52"/>
    </row>
    <row r="106" spans="2:14">
      <c r="B106" s="51"/>
      <c r="C106" s="52"/>
    </row>
    <row r="107" spans="2:14">
      <c r="B107" s="51"/>
      <c r="C107" s="52"/>
    </row>
    <row r="108" spans="2:14">
      <c r="B108" s="51"/>
      <c r="C108" s="52"/>
    </row>
    <row r="109" spans="2:14">
      <c r="B109" s="51"/>
      <c r="C109" s="52"/>
    </row>
    <row r="110" spans="2:14">
      <c r="B110" s="51"/>
      <c r="C110" s="52"/>
    </row>
    <row r="111" spans="2:14">
      <c r="B111" s="51"/>
      <c r="C111" s="52"/>
    </row>
    <row r="112" spans="2:14">
      <c r="B112" s="51"/>
      <c r="C112" s="52"/>
    </row>
    <row r="113" spans="2:3">
      <c r="B113" s="51"/>
      <c r="C113" s="52"/>
    </row>
    <row r="114" spans="2:3">
      <c r="B114" s="51"/>
      <c r="C114" s="52"/>
    </row>
    <row r="115" spans="2:3">
      <c r="B115" s="51"/>
      <c r="C115" s="52"/>
    </row>
    <row r="116" spans="2:3">
      <c r="C116" s="52"/>
    </row>
    <row r="117" spans="2:3">
      <c r="C117" s="52"/>
    </row>
    <row r="118" spans="2:3">
      <c r="C118" s="52"/>
    </row>
    <row r="119" spans="2:3">
      <c r="C119" s="52"/>
    </row>
  </sheetData>
  <mergeCells count="7">
    <mergeCell ref="C101:N101"/>
    <mergeCell ref="C102:N102"/>
    <mergeCell ref="R3:W3"/>
    <mergeCell ref="Y3:AD3"/>
    <mergeCell ref="AF3:AK3"/>
    <mergeCell ref="C23:M23"/>
    <mergeCell ref="C45:M45"/>
  </mergeCells>
  <pageMargins left="0.25" right="0.25" top="0.75" bottom="0.75" header="0.3" footer="0.3"/>
  <pageSetup paperSize="3" orientation="landscape" r:id="rId1"/>
  <headerFooter alignWithMargins="0"/>
  <rowBreaks count="2" manualBreakCount="2">
    <brk id="22" max="16383" man="1"/>
    <brk id="72" max="16383" man="1"/>
  </rowBreaks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1"/>
  <dimension ref="A1:AE98"/>
  <sheetViews>
    <sheetView workbookViewId="0"/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2.1328125" style="42" bestFit="1" customWidth="1"/>
    <col min="7" max="7" width="9.59765625" style="42" bestFit="1" customWidth="1"/>
    <col min="8" max="8" width="8" style="42" bestFit="1" customWidth="1"/>
    <col min="9" max="9" width="12.265625" style="42" bestFit="1" customWidth="1"/>
    <col min="10" max="10" width="9.73046875" style="42" customWidth="1"/>
    <col min="11" max="11" width="9.265625" style="42" customWidth="1"/>
    <col min="12" max="12" width="7.3984375" style="42" customWidth="1"/>
    <col min="13" max="13" width="29.59765625" style="72" hidden="1" customWidth="1"/>
    <col min="14" max="14" width="6.59765625" style="77" hidden="1" customWidth="1"/>
    <col min="15" max="15" width="36.1328125" style="66" hidden="1" customWidth="1"/>
    <col min="16" max="21" width="0" style="66" hidden="1" customWidth="1"/>
    <col min="22" max="23" width="9.1328125" style="66" hidden="1" customWidth="1"/>
    <col min="24" max="24" width="9.1328125" style="42"/>
    <col min="25" max="32" width="0" style="42" hidden="1" customWidth="1"/>
    <col min="33" max="16384" width="9.1328125" style="42"/>
  </cols>
  <sheetData>
    <row r="1" spans="1:31" ht="18">
      <c r="A1" s="168" t="s">
        <v>140</v>
      </c>
      <c r="B1" s="169"/>
      <c r="C1" s="169"/>
      <c r="D1" s="169"/>
      <c r="E1" s="170"/>
      <c r="F1" s="41"/>
      <c r="G1" s="192"/>
      <c r="H1" s="41"/>
      <c r="Y1" s="42">
        <f>Y5*2</f>
        <v>109.2</v>
      </c>
    </row>
    <row r="2" spans="1:31" ht="25.9" thickBot="1">
      <c r="A2" s="172" t="s">
        <v>182</v>
      </c>
      <c r="B2" s="44"/>
      <c r="C2" s="44"/>
      <c r="D2" s="41"/>
      <c r="E2" s="41"/>
      <c r="G2" s="294" t="s">
        <v>80</v>
      </c>
      <c r="H2" s="294"/>
      <c r="I2" s="294"/>
      <c r="J2" s="294"/>
      <c r="K2" s="294"/>
      <c r="L2" s="294"/>
      <c r="M2" s="77"/>
      <c r="Z2" s="293" t="s">
        <v>198</v>
      </c>
      <c r="AA2" s="293"/>
      <c r="AB2" s="293"/>
      <c r="AC2" s="293"/>
      <c r="AD2" s="293"/>
      <c r="AE2" s="293"/>
    </row>
    <row r="3" spans="1:31" ht="30" customHeight="1" thickBot="1">
      <c r="A3" s="175" t="s">
        <v>137</v>
      </c>
      <c r="B3" s="176" t="s">
        <v>114</v>
      </c>
      <c r="C3" s="176" t="s">
        <v>138</v>
      </c>
      <c r="D3" s="177" t="s">
        <v>4</v>
      </c>
      <c r="E3" s="177" t="s">
        <v>5</v>
      </c>
      <c r="F3" s="177" t="s">
        <v>6</v>
      </c>
      <c r="G3" s="176" t="s">
        <v>7</v>
      </c>
      <c r="H3" s="176" t="s">
        <v>8</v>
      </c>
      <c r="I3" s="176" t="s">
        <v>9</v>
      </c>
      <c r="J3" s="176" t="s">
        <v>10</v>
      </c>
      <c r="K3" s="176" t="s">
        <v>11</v>
      </c>
      <c r="L3" s="178" t="s">
        <v>12</v>
      </c>
      <c r="M3" s="70"/>
      <c r="N3" s="70" t="s">
        <v>138</v>
      </c>
      <c r="O3" s="77" t="s">
        <v>4</v>
      </c>
      <c r="Z3" s="62" t="s">
        <v>7</v>
      </c>
      <c r="AA3" s="62" t="s">
        <v>8</v>
      </c>
      <c r="AB3" s="62" t="s">
        <v>9</v>
      </c>
      <c r="AC3" s="62" t="s">
        <v>10</v>
      </c>
      <c r="AD3" s="62" t="s">
        <v>11</v>
      </c>
      <c r="AE3" s="62" t="s">
        <v>12</v>
      </c>
    </row>
    <row r="4" spans="1:31" ht="18.75" customHeight="1">
      <c r="A4" s="179" t="s">
        <v>157</v>
      </c>
      <c r="B4" s="173" t="s">
        <v>115</v>
      </c>
      <c r="C4" s="173" t="s">
        <v>156</v>
      </c>
      <c r="D4" s="174" t="s">
        <v>84</v>
      </c>
      <c r="E4" s="171"/>
      <c r="F4" s="173" t="s">
        <v>17</v>
      </c>
      <c r="G4" s="185">
        <f>'April 1, 2019'!H4*1.015</f>
        <v>1702.2965925442663</v>
      </c>
      <c r="H4" s="186"/>
      <c r="I4" s="186"/>
      <c r="J4" s="186"/>
      <c r="K4" s="186"/>
      <c r="L4" s="187"/>
      <c r="M4" s="70" t="s">
        <v>143</v>
      </c>
      <c r="N4" s="77" t="s">
        <v>156</v>
      </c>
      <c r="O4" s="66" t="s">
        <v>84</v>
      </c>
      <c r="P4" s="71">
        <f>G4/80</f>
        <v>21.278707406803328</v>
      </c>
      <c r="Q4" s="71"/>
      <c r="R4" s="71"/>
      <c r="S4" s="71"/>
      <c r="T4" s="71"/>
      <c r="U4" s="71"/>
      <c r="Y4" s="42">
        <v>40</v>
      </c>
      <c r="Z4" s="101">
        <f>ROUND(G4/($Y4*2),4)</f>
        <v>21.278700000000001</v>
      </c>
      <c r="AA4" s="101"/>
      <c r="AB4" s="101"/>
      <c r="AC4" s="101"/>
      <c r="AD4" s="101"/>
      <c r="AE4" s="101"/>
    </row>
    <row r="5" spans="1:31" ht="18.75" customHeight="1">
      <c r="A5" s="180" t="s">
        <v>15</v>
      </c>
      <c r="B5" s="63" t="s">
        <v>115</v>
      </c>
      <c r="C5" s="63" t="s">
        <v>148</v>
      </c>
      <c r="D5" s="59" t="s">
        <v>16</v>
      </c>
      <c r="E5" s="59">
        <v>353</v>
      </c>
      <c r="F5" s="63" t="s">
        <v>17</v>
      </c>
      <c r="G5" s="188">
        <f>'April 1, 2019'!H5*1.015</f>
        <v>2431.8522750632378</v>
      </c>
      <c r="H5" s="188">
        <f>'April 1, 2019'!I5*1.015</f>
        <v>2529.1263660657664</v>
      </c>
      <c r="I5" s="188">
        <f>'April 1, 2019'!J5*1.015</f>
        <v>2630.2914207083977</v>
      </c>
      <c r="J5" s="188">
        <f>'April 1, 2019'!K5*1.015</f>
        <v>2735.5030775367336</v>
      </c>
      <c r="K5" s="188">
        <f>'April 1, 2019'!L5*1.015</f>
        <v>2844.9232006382035</v>
      </c>
      <c r="L5" s="189">
        <f>'April 1, 2019'!M5*1.015</f>
        <v>2958.7201286637319</v>
      </c>
      <c r="M5" s="72" t="s">
        <v>144</v>
      </c>
      <c r="N5" s="72" t="s">
        <v>148</v>
      </c>
      <c r="O5" s="66" t="s">
        <v>16</v>
      </c>
      <c r="P5" s="71">
        <f>G5/109.2</f>
        <v>22.269709478601079</v>
      </c>
      <c r="Q5" s="71">
        <f t="shared" ref="Q5:U5" si="0">H5/109.2</f>
        <v>23.160497857745113</v>
      </c>
      <c r="R5" s="71">
        <f t="shared" si="0"/>
        <v>24.086917772054925</v>
      </c>
      <c r="S5" s="71">
        <f t="shared" si="0"/>
        <v>25.050394482937119</v>
      </c>
      <c r="T5" s="71">
        <f t="shared" si="0"/>
        <v>26.052410262254611</v>
      </c>
      <c r="U5" s="71">
        <f t="shared" si="0"/>
        <v>27.094506672744796</v>
      </c>
      <c r="Y5" s="42">
        <v>54.6</v>
      </c>
      <c r="Z5" s="101">
        <f>ROUND(G5/($Y5*2),4)</f>
        <v>22.2697</v>
      </c>
      <c r="AA5" s="101">
        <f t="shared" ref="AA5:AE5" si="1">ROUND(H5/($Y5*2),4)</f>
        <v>23.160499999999999</v>
      </c>
      <c r="AB5" s="101">
        <f t="shared" si="1"/>
        <v>24.0869</v>
      </c>
      <c r="AC5" s="101">
        <f t="shared" si="1"/>
        <v>25.0504</v>
      </c>
      <c r="AD5" s="101">
        <f t="shared" si="1"/>
        <v>26.052399999999999</v>
      </c>
      <c r="AE5" s="101">
        <f t="shared" si="1"/>
        <v>27.0945</v>
      </c>
    </row>
    <row r="6" spans="1:31" ht="18.75" customHeight="1">
      <c r="A6" s="180" t="s">
        <v>19</v>
      </c>
      <c r="B6" s="63" t="s">
        <v>115</v>
      </c>
      <c r="C6" s="63" t="s">
        <v>149</v>
      </c>
      <c r="D6" s="59" t="s">
        <v>20</v>
      </c>
      <c r="E6" s="59">
        <v>353</v>
      </c>
      <c r="F6" s="63" t="s">
        <v>17</v>
      </c>
      <c r="G6" s="188">
        <f>'April 1, 2019'!H6*1.015</f>
        <v>2431.8522750632378</v>
      </c>
      <c r="H6" s="188">
        <f>'April 1, 2019'!I6*1.015</f>
        <v>2529.1263660657664</v>
      </c>
      <c r="I6" s="188">
        <f>'April 1, 2019'!J6*1.015</f>
        <v>2630.2914207083977</v>
      </c>
      <c r="J6" s="188">
        <f>'April 1, 2019'!K6*1.015</f>
        <v>2735.5030775367336</v>
      </c>
      <c r="K6" s="188">
        <f>'April 1, 2019'!L6*1.015</f>
        <v>2844.9232006382035</v>
      </c>
      <c r="L6" s="189">
        <f>'April 1, 2019'!M6*1.015</f>
        <v>2958.7201286637319</v>
      </c>
      <c r="M6" s="72" t="s">
        <v>143</v>
      </c>
      <c r="N6" s="72" t="s">
        <v>149</v>
      </c>
      <c r="O6" s="66" t="s">
        <v>20</v>
      </c>
      <c r="P6" s="71">
        <f t="shared" ref="P6:U6" si="2">G6/80</f>
        <v>30.398153438290471</v>
      </c>
      <c r="Q6" s="71">
        <f t="shared" si="2"/>
        <v>31.614079575822082</v>
      </c>
      <c r="R6" s="71">
        <f t="shared" si="2"/>
        <v>32.878642758854973</v>
      </c>
      <c r="S6" s="71">
        <f t="shared" si="2"/>
        <v>34.193788469209167</v>
      </c>
      <c r="T6" s="71">
        <f t="shared" si="2"/>
        <v>35.561540007977541</v>
      </c>
      <c r="U6" s="71">
        <f t="shared" si="2"/>
        <v>36.984001608296651</v>
      </c>
      <c r="Y6" s="42">
        <v>40</v>
      </c>
      <c r="Z6" s="101">
        <f>ROUND(G6/($Y6*2),4)</f>
        <v>30.398199999999999</v>
      </c>
      <c r="AA6" s="101">
        <f t="shared" ref="AA6:AA7" si="3">ROUND(H6/($Y6*2),4)</f>
        <v>31.614100000000001</v>
      </c>
      <c r="AB6" s="101">
        <f t="shared" ref="AB6:AB7" si="4">ROUND(I6/($Y6*2),4)</f>
        <v>32.878599999999999</v>
      </c>
      <c r="AC6" s="101">
        <f t="shared" ref="AC6:AC7" si="5">ROUND(J6/($Y6*2),4)</f>
        <v>34.193800000000003</v>
      </c>
      <c r="AD6" s="101">
        <f t="shared" ref="AD6:AD7" si="6">ROUND(K6/($Y6*2),4)</f>
        <v>35.561500000000002</v>
      </c>
      <c r="AE6" s="101">
        <f t="shared" ref="AE6:AE7" si="7">ROUND(L6/($Y6*2),4)</f>
        <v>36.984000000000002</v>
      </c>
    </row>
    <row r="7" spans="1:31" ht="18.75" customHeight="1">
      <c r="A7" s="180" t="s">
        <v>21</v>
      </c>
      <c r="B7" s="63" t="s">
        <v>115</v>
      </c>
      <c r="C7" s="63" t="s">
        <v>148</v>
      </c>
      <c r="D7" s="59" t="s">
        <v>22</v>
      </c>
      <c r="E7" s="59"/>
      <c r="F7" s="63" t="s">
        <v>17</v>
      </c>
      <c r="G7" s="188">
        <f>'April 1, 2019'!H7*1.015</f>
        <v>2431.8522750632378</v>
      </c>
      <c r="H7" s="188">
        <f>'April 1, 2019'!I7*1.015</f>
        <v>2529.1263660657664</v>
      </c>
      <c r="I7" s="188">
        <f>'April 1, 2019'!J7*1.015</f>
        <v>2630.2914207083977</v>
      </c>
      <c r="J7" s="188">
        <f>'April 1, 2019'!K7*1.015</f>
        <v>2735.5030775367336</v>
      </c>
      <c r="K7" s="188">
        <f>'April 1, 2019'!L7*1.015</f>
        <v>2844.9232006382035</v>
      </c>
      <c r="L7" s="189">
        <f>'April 1, 2019'!M7*1.015</f>
        <v>2958.7201286637319</v>
      </c>
      <c r="M7" s="72" t="s">
        <v>144</v>
      </c>
      <c r="N7" s="72" t="s">
        <v>148</v>
      </c>
      <c r="O7" s="66" t="s">
        <v>22</v>
      </c>
      <c r="P7" s="71">
        <f t="shared" ref="P7:U8" si="8">G7/109.2</f>
        <v>22.269709478601079</v>
      </c>
      <c r="Q7" s="71">
        <f t="shared" si="8"/>
        <v>23.160497857745113</v>
      </c>
      <c r="R7" s="71">
        <f t="shared" si="8"/>
        <v>24.086917772054925</v>
      </c>
      <c r="S7" s="71">
        <f t="shared" si="8"/>
        <v>25.050394482937119</v>
      </c>
      <c r="T7" s="71">
        <f t="shared" si="8"/>
        <v>26.052410262254611</v>
      </c>
      <c r="U7" s="71">
        <f t="shared" si="8"/>
        <v>27.094506672744796</v>
      </c>
      <c r="Y7" s="42">
        <v>54.6</v>
      </c>
      <c r="Z7" s="101">
        <f>ROUND(G7/($Y7*2),4)</f>
        <v>22.2697</v>
      </c>
      <c r="AA7" s="101">
        <f t="shared" si="3"/>
        <v>23.160499999999999</v>
      </c>
      <c r="AB7" s="101">
        <f t="shared" si="4"/>
        <v>24.0869</v>
      </c>
      <c r="AC7" s="101">
        <f t="shared" si="5"/>
        <v>25.0504</v>
      </c>
      <c r="AD7" s="101">
        <f t="shared" si="6"/>
        <v>26.052399999999999</v>
      </c>
      <c r="AE7" s="101">
        <f t="shared" si="7"/>
        <v>27.0945</v>
      </c>
    </row>
    <row r="8" spans="1:31" ht="18.75" customHeight="1">
      <c r="A8" s="180" t="s">
        <v>23</v>
      </c>
      <c r="B8" s="63" t="s">
        <v>115</v>
      </c>
      <c r="C8" s="63" t="s">
        <v>150</v>
      </c>
      <c r="D8" s="59" t="s">
        <v>24</v>
      </c>
      <c r="E8" s="59"/>
      <c r="F8" s="63" t="s">
        <v>17</v>
      </c>
      <c r="G8" s="188">
        <f>'April 1, 2019'!H8*1.015</f>
        <v>3014.5980905301353</v>
      </c>
      <c r="H8" s="188">
        <f>'April 1, 2019'!I8*1.015</f>
        <v>3132.9763726319648</v>
      </c>
      <c r="I8" s="188">
        <f>'April 1, 2019'!J8*1.015</f>
        <v>3323.3267065460773</v>
      </c>
      <c r="J8" s="188"/>
      <c r="K8" s="188"/>
      <c r="L8" s="189"/>
      <c r="M8" s="72" t="s">
        <v>144</v>
      </c>
      <c r="N8" s="72" t="s">
        <v>150</v>
      </c>
      <c r="O8" s="66" t="s">
        <v>24</v>
      </c>
      <c r="P8" s="71">
        <f t="shared" si="8"/>
        <v>27.606209620239333</v>
      </c>
      <c r="Q8" s="71">
        <f t="shared" si="8"/>
        <v>28.690259822637039</v>
      </c>
      <c r="R8" s="71">
        <f t="shared" si="8"/>
        <v>30.433394748590452</v>
      </c>
      <c r="S8" s="71">
        <f t="shared" si="8"/>
        <v>0</v>
      </c>
      <c r="T8" s="71">
        <f t="shared" si="8"/>
        <v>0</v>
      </c>
      <c r="U8" s="71"/>
      <c r="Y8" s="42">
        <v>54.6</v>
      </c>
      <c r="Z8" s="101">
        <f t="shared" ref="Z8:Z17" si="9">ROUND(G8/($Y8*2),4)</f>
        <v>27.606200000000001</v>
      </c>
      <c r="AA8" s="101">
        <f t="shared" ref="AA8:AA17" si="10">ROUND(H8/($Y8*2),4)</f>
        <v>28.690300000000001</v>
      </c>
      <c r="AB8" s="101">
        <f t="shared" ref="AB8:AB17" si="11">ROUND(I8/($Y8*2),4)</f>
        <v>30.433399999999999</v>
      </c>
      <c r="AC8" s="101"/>
      <c r="AD8" s="101"/>
      <c r="AE8" s="101"/>
    </row>
    <row r="9" spans="1:31" ht="18.75" customHeight="1">
      <c r="A9" s="180" t="s">
        <v>195</v>
      </c>
      <c r="B9" s="63" t="s">
        <v>115</v>
      </c>
      <c r="C9" s="63" t="s">
        <v>151</v>
      </c>
      <c r="D9" s="59" t="s">
        <v>26</v>
      </c>
      <c r="E9" s="59"/>
      <c r="F9" s="63" t="s">
        <v>17</v>
      </c>
      <c r="G9" s="188">
        <f>'April 1, 2019'!H9*1.015</f>
        <v>3014.5980905301353</v>
      </c>
      <c r="H9" s="188">
        <f>'April 1, 2019'!I9*1.015</f>
        <v>3132.9763726319648</v>
      </c>
      <c r="I9" s="188">
        <f>'April 1, 2019'!J9*1.015</f>
        <v>3323.3267065460773</v>
      </c>
      <c r="J9" s="188"/>
      <c r="K9" s="188"/>
      <c r="L9" s="189"/>
      <c r="M9" s="72" t="s">
        <v>143</v>
      </c>
      <c r="N9" s="72" t="s">
        <v>151</v>
      </c>
      <c r="O9" s="66" t="s">
        <v>26</v>
      </c>
      <c r="P9" s="71">
        <f t="shared" ref="P9:R9" si="12">G9/80</f>
        <v>37.682476131626693</v>
      </c>
      <c r="Q9" s="71">
        <f t="shared" si="12"/>
        <v>39.162204657899558</v>
      </c>
      <c r="R9" s="71">
        <f t="shared" si="12"/>
        <v>41.541583831825967</v>
      </c>
      <c r="S9" s="71"/>
      <c r="T9" s="71"/>
      <c r="U9" s="71"/>
      <c r="Y9" s="42">
        <v>40</v>
      </c>
      <c r="Z9" s="101">
        <f t="shared" si="9"/>
        <v>37.682499999999997</v>
      </c>
      <c r="AA9" s="101">
        <f t="shared" si="10"/>
        <v>39.162199999999999</v>
      </c>
      <c r="AB9" s="101">
        <f t="shared" si="11"/>
        <v>41.541600000000003</v>
      </c>
      <c r="AC9" s="101"/>
      <c r="AD9" s="101"/>
      <c r="AE9" s="101"/>
    </row>
    <row r="10" spans="1:31" ht="18.75" customHeight="1">
      <c r="A10" s="180" t="s">
        <v>27</v>
      </c>
      <c r="B10" s="63" t="s">
        <v>115</v>
      </c>
      <c r="C10" s="63" t="s">
        <v>150</v>
      </c>
      <c r="D10" s="59" t="s">
        <v>28</v>
      </c>
      <c r="E10" s="59"/>
      <c r="F10" s="63" t="s">
        <v>17</v>
      </c>
      <c r="G10" s="188">
        <f>'April 1, 2019'!H10*1.015</f>
        <v>3014.5980905301353</v>
      </c>
      <c r="H10" s="188">
        <f>'April 1, 2019'!I10*1.015</f>
        <v>3132.9763726319648</v>
      </c>
      <c r="I10" s="188">
        <f>'April 1, 2019'!J10*1.015</f>
        <v>3323.3267065460773</v>
      </c>
      <c r="J10" s="188"/>
      <c r="K10" s="188"/>
      <c r="L10" s="189"/>
      <c r="M10" s="72" t="s">
        <v>144</v>
      </c>
      <c r="N10" s="72" t="s">
        <v>150</v>
      </c>
      <c r="O10" s="66" t="s">
        <v>28</v>
      </c>
      <c r="P10" s="71">
        <f t="shared" ref="P10:R11" si="13">G10/109.2</f>
        <v>27.606209620239333</v>
      </c>
      <c r="Q10" s="71">
        <f t="shared" si="13"/>
        <v>28.690259822637039</v>
      </c>
      <c r="R10" s="71">
        <f t="shared" si="13"/>
        <v>30.433394748590452</v>
      </c>
      <c r="S10" s="71"/>
      <c r="T10" s="71"/>
      <c r="U10" s="71"/>
      <c r="Y10" s="42">
        <v>54.6</v>
      </c>
      <c r="Z10" s="101">
        <f t="shared" si="9"/>
        <v>27.606200000000001</v>
      </c>
      <c r="AA10" s="101">
        <f t="shared" si="10"/>
        <v>28.690300000000001</v>
      </c>
      <c r="AB10" s="101">
        <f t="shared" si="11"/>
        <v>30.433399999999999</v>
      </c>
      <c r="AC10" s="101"/>
      <c r="AD10" s="101"/>
      <c r="AE10" s="101"/>
    </row>
    <row r="11" spans="1:31" ht="18.75" customHeight="1">
      <c r="A11" s="180" t="s">
        <v>29</v>
      </c>
      <c r="B11" s="63" t="s">
        <v>115</v>
      </c>
      <c r="C11" s="63" t="s">
        <v>152</v>
      </c>
      <c r="D11" s="59" t="s">
        <v>30</v>
      </c>
      <c r="E11" s="59"/>
      <c r="F11" s="63" t="s">
        <v>17</v>
      </c>
      <c r="G11" s="188">
        <f>'April 1, 2019'!H11*1.015</f>
        <v>3417.0842496763516</v>
      </c>
      <c r="H11" s="188">
        <f>'April 1, 2019'!I11*1.015</f>
        <v>3552.5616169706659</v>
      </c>
      <c r="I11" s="188">
        <f>'April 1, 2019'!J11*1.015</f>
        <v>3770.0033997451128</v>
      </c>
      <c r="J11" s="188"/>
      <c r="K11" s="188"/>
      <c r="L11" s="189"/>
      <c r="M11" s="72" t="s">
        <v>144</v>
      </c>
      <c r="N11" s="72" t="s">
        <v>152</v>
      </c>
      <c r="O11" s="66" t="s">
        <v>30</v>
      </c>
      <c r="P11" s="71">
        <f t="shared" si="13"/>
        <v>31.291980308391498</v>
      </c>
      <c r="Q11" s="71">
        <f t="shared" si="13"/>
        <v>32.532615540024409</v>
      </c>
      <c r="R11" s="71">
        <f t="shared" si="13"/>
        <v>34.523840657006524</v>
      </c>
      <c r="S11" s="71"/>
      <c r="T11" s="71"/>
      <c r="U11" s="71"/>
      <c r="Y11" s="42">
        <v>54.6</v>
      </c>
      <c r="Z11" s="101">
        <f t="shared" si="9"/>
        <v>31.292000000000002</v>
      </c>
      <c r="AA11" s="101">
        <f t="shared" si="10"/>
        <v>32.532600000000002</v>
      </c>
      <c r="AB11" s="101">
        <f t="shared" si="11"/>
        <v>34.523800000000001</v>
      </c>
      <c r="AC11" s="101"/>
      <c r="AD11" s="101"/>
      <c r="AE11" s="101"/>
    </row>
    <row r="12" spans="1:31" ht="18.75" customHeight="1">
      <c r="A12" s="180" t="s">
        <v>31</v>
      </c>
      <c r="B12" s="63" t="s">
        <v>115</v>
      </c>
      <c r="C12" s="63" t="s">
        <v>153</v>
      </c>
      <c r="D12" s="59" t="s">
        <v>32</v>
      </c>
      <c r="E12" s="59"/>
      <c r="F12" s="63" t="s">
        <v>17</v>
      </c>
      <c r="G12" s="188">
        <f>'April 1, 2019'!H12*1.015</f>
        <v>3417.0842496763516</v>
      </c>
      <c r="H12" s="188">
        <f>'April 1, 2019'!I12*1.015</f>
        <v>3552.5616169706659</v>
      </c>
      <c r="I12" s="188">
        <f>'April 1, 2019'!J12*1.015</f>
        <v>3770.0033997451128</v>
      </c>
      <c r="J12" s="188"/>
      <c r="K12" s="188"/>
      <c r="L12" s="189"/>
      <c r="M12" s="72" t="s">
        <v>143</v>
      </c>
      <c r="N12" s="72" t="s">
        <v>153</v>
      </c>
      <c r="O12" s="66" t="s">
        <v>32</v>
      </c>
      <c r="P12" s="71">
        <f t="shared" ref="P12:R12" si="14">G12/80</f>
        <v>42.713553120954394</v>
      </c>
      <c r="Q12" s="71">
        <f t="shared" si="14"/>
        <v>44.407020212133325</v>
      </c>
      <c r="R12" s="71">
        <f t="shared" si="14"/>
        <v>47.125042496813911</v>
      </c>
      <c r="S12" s="71"/>
      <c r="T12" s="71"/>
      <c r="U12" s="71"/>
      <c r="Y12" s="42">
        <v>40</v>
      </c>
      <c r="Z12" s="101">
        <f t="shared" si="9"/>
        <v>42.7136</v>
      </c>
      <c r="AA12" s="101">
        <f t="shared" si="10"/>
        <v>44.406999999999996</v>
      </c>
      <c r="AB12" s="101">
        <f t="shared" si="11"/>
        <v>47.125</v>
      </c>
      <c r="AC12" s="101"/>
      <c r="AD12" s="101"/>
      <c r="AE12" s="101"/>
    </row>
    <row r="13" spans="1:31" ht="18.75" customHeight="1">
      <c r="A13" s="180" t="s">
        <v>33</v>
      </c>
      <c r="B13" s="63" t="s">
        <v>115</v>
      </c>
      <c r="C13" s="63" t="s">
        <v>152</v>
      </c>
      <c r="D13" s="59" t="s">
        <v>34</v>
      </c>
      <c r="E13" s="59"/>
      <c r="F13" s="63" t="s">
        <v>17</v>
      </c>
      <c r="G13" s="188">
        <f>'April 1, 2019'!H13*1.015</f>
        <v>3417.0842496763516</v>
      </c>
      <c r="H13" s="188">
        <f>'April 1, 2019'!I13*1.015</f>
        <v>3552.5616169706659</v>
      </c>
      <c r="I13" s="188">
        <f>'April 1, 2019'!J13*1.015</f>
        <v>3770.0033997451128</v>
      </c>
      <c r="J13" s="188"/>
      <c r="K13" s="188"/>
      <c r="L13" s="189"/>
      <c r="M13" s="72" t="s">
        <v>144</v>
      </c>
      <c r="N13" s="72" t="s">
        <v>152</v>
      </c>
      <c r="O13" s="66" t="s">
        <v>34</v>
      </c>
      <c r="P13" s="71">
        <f t="shared" ref="P13:R13" si="15">G13/109.2</f>
        <v>31.291980308391498</v>
      </c>
      <c r="Q13" s="71">
        <f t="shared" si="15"/>
        <v>32.532615540024409</v>
      </c>
      <c r="R13" s="71">
        <f t="shared" si="15"/>
        <v>34.523840657006524</v>
      </c>
      <c r="S13" s="71"/>
      <c r="T13" s="71"/>
      <c r="U13" s="71"/>
      <c r="Y13" s="42">
        <v>54.6</v>
      </c>
      <c r="Z13" s="101">
        <f t="shared" si="9"/>
        <v>31.292000000000002</v>
      </c>
      <c r="AA13" s="101">
        <f t="shared" si="10"/>
        <v>32.532600000000002</v>
      </c>
      <c r="AB13" s="101">
        <f t="shared" si="11"/>
        <v>34.523800000000001</v>
      </c>
      <c r="AC13" s="101"/>
      <c r="AD13" s="101"/>
      <c r="AE13" s="101"/>
    </row>
    <row r="14" spans="1:31" ht="18.75" customHeight="1">
      <c r="A14" s="180" t="s">
        <v>35</v>
      </c>
      <c r="B14" s="63" t="s">
        <v>115</v>
      </c>
      <c r="C14" s="63" t="s">
        <v>153</v>
      </c>
      <c r="D14" s="59" t="s">
        <v>36</v>
      </c>
      <c r="E14" s="59"/>
      <c r="F14" s="63" t="s">
        <v>17</v>
      </c>
      <c r="G14" s="188">
        <f>'April 1, 2019'!H14*1.015</f>
        <v>3417.0842496763516</v>
      </c>
      <c r="H14" s="188">
        <f>'April 1, 2019'!I14*1.015</f>
        <v>3552.5616169706659</v>
      </c>
      <c r="I14" s="188">
        <f>'April 1, 2019'!J14*1.015</f>
        <v>3770.0033997451128</v>
      </c>
      <c r="J14" s="188"/>
      <c r="K14" s="188"/>
      <c r="L14" s="189"/>
      <c r="M14" s="72" t="s">
        <v>143</v>
      </c>
      <c r="N14" s="72" t="s">
        <v>153</v>
      </c>
      <c r="O14" s="66" t="s">
        <v>36</v>
      </c>
      <c r="P14" s="71">
        <f>G14/80</f>
        <v>42.713553120954394</v>
      </c>
      <c r="Q14" s="71">
        <f t="shared" ref="Q14:R14" si="16">H14/80</f>
        <v>44.407020212133325</v>
      </c>
      <c r="R14" s="71">
        <f t="shared" si="16"/>
        <v>47.125042496813911</v>
      </c>
      <c r="S14" s="71"/>
      <c r="T14" s="71"/>
      <c r="U14" s="71"/>
      <c r="Y14" s="42">
        <v>40</v>
      </c>
      <c r="Z14" s="101">
        <f t="shared" si="9"/>
        <v>42.7136</v>
      </c>
      <c r="AA14" s="101">
        <f t="shared" si="10"/>
        <v>44.406999999999996</v>
      </c>
      <c r="AB14" s="101">
        <f t="shared" si="11"/>
        <v>47.125</v>
      </c>
      <c r="AC14" s="101"/>
      <c r="AD14" s="101"/>
      <c r="AE14" s="101"/>
    </row>
    <row r="15" spans="1:31" ht="18.75" customHeight="1">
      <c r="A15" s="180" t="s">
        <v>37</v>
      </c>
      <c r="B15" s="63" t="s">
        <v>115</v>
      </c>
      <c r="C15" s="63" t="s">
        <v>152</v>
      </c>
      <c r="D15" s="59" t="s">
        <v>38</v>
      </c>
      <c r="E15" s="59"/>
      <c r="F15" s="63" t="s">
        <v>17</v>
      </c>
      <c r="G15" s="188">
        <f>'April 1, 2019'!H15*1.015</f>
        <v>3417.0842496763516</v>
      </c>
      <c r="H15" s="188">
        <f>'April 1, 2019'!I15*1.015</f>
        <v>3552.5616169706659</v>
      </c>
      <c r="I15" s="188">
        <f>'April 1, 2019'!J15*1.015</f>
        <v>3770.0033997451128</v>
      </c>
      <c r="J15" s="188"/>
      <c r="K15" s="188"/>
      <c r="L15" s="189"/>
      <c r="M15" s="72" t="s">
        <v>144</v>
      </c>
      <c r="N15" s="72" t="s">
        <v>152</v>
      </c>
      <c r="O15" s="66" t="s">
        <v>38</v>
      </c>
      <c r="P15" s="71">
        <f t="shared" ref="P15:T17" si="17">G15/80</f>
        <v>42.713553120954394</v>
      </c>
      <c r="Q15" s="71">
        <f t="shared" si="17"/>
        <v>44.407020212133325</v>
      </c>
      <c r="R15" s="71">
        <f t="shared" si="17"/>
        <v>47.125042496813911</v>
      </c>
      <c r="S15" s="71"/>
      <c r="T15" s="71"/>
      <c r="U15" s="71"/>
      <c r="Y15" s="42">
        <v>54.6</v>
      </c>
      <c r="Z15" s="101">
        <f t="shared" si="9"/>
        <v>31.292000000000002</v>
      </c>
      <c r="AA15" s="101">
        <f t="shared" si="10"/>
        <v>32.532600000000002</v>
      </c>
      <c r="AB15" s="101">
        <f t="shared" si="11"/>
        <v>34.523800000000001</v>
      </c>
      <c r="AC15" s="101"/>
      <c r="AD15" s="101"/>
      <c r="AE15" s="101"/>
    </row>
    <row r="16" spans="1:31" ht="18.75" customHeight="1">
      <c r="A16" s="180" t="s">
        <v>41</v>
      </c>
      <c r="B16" s="63" t="s">
        <v>115</v>
      </c>
      <c r="C16" s="63" t="s">
        <v>154</v>
      </c>
      <c r="D16" s="65" t="s">
        <v>113</v>
      </c>
      <c r="E16" s="59"/>
      <c r="F16" s="63" t="s">
        <v>17</v>
      </c>
      <c r="G16" s="188">
        <f>'April 1, 2019'!H16*1.015</f>
        <v>3497.3184186564786</v>
      </c>
      <c r="H16" s="188">
        <f>'April 1, 2019'!I16*1.015</f>
        <v>3556.5075597073937</v>
      </c>
      <c r="I16" s="188">
        <f>'April 1, 2019'!J16*1.015</f>
        <v>3617.0120150038833</v>
      </c>
      <c r="J16" s="188">
        <f>'April 1, 2019'!K16*1.015</f>
        <v>3677.5164703003743</v>
      </c>
      <c r="K16" s="188">
        <f>'April 1, 2019'!L16*1.015</f>
        <v>3901.8537489424189</v>
      </c>
      <c r="L16" s="189"/>
      <c r="M16" s="72" t="s">
        <v>144</v>
      </c>
      <c r="N16" s="72" t="s">
        <v>154</v>
      </c>
      <c r="O16" s="82" t="s">
        <v>113</v>
      </c>
      <c r="P16" s="71">
        <f>G16/109.2</f>
        <v>32.026725445572147</v>
      </c>
      <c r="Q16" s="71">
        <f t="shared" ref="Q16:T16" si="18">H16/109.2</f>
        <v>32.568750546771007</v>
      </c>
      <c r="R16" s="71">
        <f t="shared" si="18"/>
        <v>33.122820650218713</v>
      </c>
      <c r="S16" s="71">
        <f t="shared" si="18"/>
        <v>33.676890753666427</v>
      </c>
      <c r="T16" s="71">
        <f t="shared" si="18"/>
        <v>35.731261437201638</v>
      </c>
      <c r="U16" s="71"/>
      <c r="Y16" s="42">
        <v>54.6</v>
      </c>
      <c r="Z16" s="101">
        <f t="shared" si="9"/>
        <v>32.026699999999998</v>
      </c>
      <c r="AA16" s="101">
        <f t="shared" si="10"/>
        <v>32.568800000000003</v>
      </c>
      <c r="AB16" s="101">
        <f t="shared" si="11"/>
        <v>33.122799999999998</v>
      </c>
      <c r="AC16" s="101">
        <f t="shared" ref="AC16:AC17" si="19">ROUND(J16/($Y16*2),4)</f>
        <v>33.676900000000003</v>
      </c>
      <c r="AD16" s="101">
        <f t="shared" ref="AD16:AD17" si="20">ROUND(K16/($Y16*2),4)</f>
        <v>35.731299999999997</v>
      </c>
      <c r="AE16" s="101"/>
    </row>
    <row r="17" spans="1:31" ht="18.75" customHeight="1" thickBot="1">
      <c r="A17" s="181" t="s">
        <v>39</v>
      </c>
      <c r="B17" s="182" t="s">
        <v>115</v>
      </c>
      <c r="C17" s="182" t="s">
        <v>155</v>
      </c>
      <c r="D17" s="183" t="s">
        <v>42</v>
      </c>
      <c r="E17" s="184"/>
      <c r="F17" s="182" t="s">
        <v>17</v>
      </c>
      <c r="G17" s="190">
        <f>'April 1, 2019'!H17*1.015</f>
        <v>3497.3184186564786</v>
      </c>
      <c r="H17" s="190">
        <f>'April 1, 2019'!I17*1.015</f>
        <v>3556.5075597073937</v>
      </c>
      <c r="I17" s="190">
        <f>'April 1, 2019'!J17*1.015</f>
        <v>3617.0120150038833</v>
      </c>
      <c r="J17" s="190">
        <f>'April 1, 2019'!K17*1.015</f>
        <v>3677.5164703003743</v>
      </c>
      <c r="K17" s="190">
        <f>'April 1, 2019'!L17*1.015</f>
        <v>3901.8537489424189</v>
      </c>
      <c r="L17" s="191"/>
      <c r="M17" s="72" t="s">
        <v>143</v>
      </c>
      <c r="N17" s="72" t="s">
        <v>155</v>
      </c>
      <c r="O17" s="66" t="s">
        <v>42</v>
      </c>
      <c r="P17" s="71">
        <f>G17/80</f>
        <v>43.716480233205985</v>
      </c>
      <c r="Q17" s="71">
        <f t="shared" si="17"/>
        <v>44.456344496342425</v>
      </c>
      <c r="R17" s="71">
        <f t="shared" si="17"/>
        <v>45.21265018754854</v>
      </c>
      <c r="S17" s="71">
        <f t="shared" si="17"/>
        <v>45.968955878754677</v>
      </c>
      <c r="T17" s="71">
        <f t="shared" si="17"/>
        <v>48.773171861780234</v>
      </c>
      <c r="U17" s="71"/>
      <c r="Y17" s="42">
        <v>40</v>
      </c>
      <c r="Z17" s="101">
        <f t="shared" si="9"/>
        <v>43.716500000000003</v>
      </c>
      <c r="AA17" s="101">
        <f t="shared" si="10"/>
        <v>44.456299999999999</v>
      </c>
      <c r="AB17" s="101">
        <f t="shared" si="11"/>
        <v>45.212699999999998</v>
      </c>
      <c r="AC17" s="101">
        <f t="shared" si="19"/>
        <v>45.969000000000001</v>
      </c>
      <c r="AD17" s="101">
        <f t="shared" si="20"/>
        <v>48.773200000000003</v>
      </c>
      <c r="AE17" s="101"/>
    </row>
    <row r="18" spans="1:31" ht="27.75" customHeight="1">
      <c r="A18" s="41" t="s">
        <v>107</v>
      </c>
      <c r="C18" s="46"/>
      <c r="G18" s="46"/>
      <c r="H18" s="46"/>
      <c r="I18" s="46"/>
      <c r="J18" s="46"/>
      <c r="K18" s="46"/>
      <c r="L18" s="46"/>
    </row>
    <row r="19" spans="1:31" ht="17.25" customHeight="1">
      <c r="A19" s="50" t="s">
        <v>50</v>
      </c>
      <c r="C19" s="46"/>
      <c r="G19" s="46"/>
      <c r="H19" s="46"/>
      <c r="I19" s="46"/>
      <c r="J19" s="46"/>
      <c r="K19" s="46"/>
      <c r="L19" s="46"/>
    </row>
    <row r="20" spans="1:31" ht="17.25" customHeight="1">
      <c r="A20" s="42" t="s">
        <v>51</v>
      </c>
      <c r="C20" s="46"/>
      <c r="G20" s="46"/>
      <c r="H20" s="46"/>
      <c r="I20" s="46"/>
      <c r="J20" s="46"/>
      <c r="K20" s="46"/>
      <c r="L20" s="46"/>
    </row>
    <row r="21" spans="1:31" ht="17.25" customHeight="1">
      <c r="A21" s="50" t="s">
        <v>52</v>
      </c>
      <c r="B21" s="46"/>
      <c r="C21" s="46"/>
    </row>
    <row r="22" spans="1:31" ht="17.25" customHeight="1">
      <c r="A22" s="50"/>
      <c r="B22" s="46"/>
      <c r="C22" s="46"/>
    </row>
    <row r="23" spans="1:31" ht="27.75" customHeight="1">
      <c r="A23" s="41" t="s">
        <v>136</v>
      </c>
      <c r="B23" s="42" t="s">
        <v>188</v>
      </c>
    </row>
    <row r="24" spans="1:31" ht="27.75" customHeight="1">
      <c r="A24" s="41"/>
      <c r="G24" s="72" t="s">
        <v>230</v>
      </c>
      <c r="H24" s="72" t="s">
        <v>231</v>
      </c>
      <c r="I24" s="66" t="s">
        <v>238</v>
      </c>
      <c r="J24" s="157"/>
      <c r="K24" s="157"/>
      <c r="L24" s="157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31" ht="17.25" customHeight="1">
      <c r="A25" s="49">
        <f>'April 1, 2019'!B25*1.015</f>
        <v>16.467839532398216</v>
      </c>
      <c r="B25" s="52" t="s">
        <v>161</v>
      </c>
      <c r="C25" s="52"/>
      <c r="D25" s="52"/>
      <c r="E25" s="52"/>
      <c r="F25" s="52"/>
      <c r="G25" s="148">
        <f>ROUND(A25/109.2,3)</f>
        <v>0.151</v>
      </c>
      <c r="H25" s="150">
        <f>ROUND(A25/80,3)</f>
        <v>0.20599999999999999</v>
      </c>
      <c r="I25" s="151">
        <v>0.20599999999999999</v>
      </c>
      <c r="J25" s="157"/>
      <c r="K25" s="157"/>
      <c r="L25" s="157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31" ht="17.25" customHeight="1">
      <c r="A26" s="49">
        <f>'April 1, 2019'!B26*1.015</f>
        <v>23.356347572094137</v>
      </c>
      <c r="B26" s="52" t="s">
        <v>162</v>
      </c>
      <c r="C26" s="52"/>
      <c r="D26" s="52"/>
      <c r="E26" s="52"/>
      <c r="F26" s="52"/>
      <c r="G26" s="148">
        <f t="shared" ref="G26:G44" si="21">ROUND(A26/109.2,3)</f>
        <v>0.214</v>
      </c>
      <c r="H26" s="150">
        <f t="shared" ref="H26:H44" si="22">ROUND(A26/80,3)</f>
        <v>0.29199999999999998</v>
      </c>
      <c r="I26" s="151">
        <v>0.29199999999999998</v>
      </c>
      <c r="J26" s="157"/>
      <c r="K26" s="157"/>
      <c r="L26" s="15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31" ht="17.25" customHeight="1">
      <c r="A27" s="49">
        <f>'April 1, 2019'!B27*1.015</f>
        <v>30.244855611790161</v>
      </c>
      <c r="B27" s="52" t="s">
        <v>163</v>
      </c>
      <c r="C27" s="53"/>
      <c r="D27" s="53"/>
      <c r="E27" s="53"/>
      <c r="F27" s="53"/>
      <c r="G27" s="148">
        <f t="shared" si="21"/>
        <v>0.27700000000000002</v>
      </c>
      <c r="H27" s="150">
        <f t="shared" si="22"/>
        <v>0.378</v>
      </c>
      <c r="I27" s="152">
        <v>0.378</v>
      </c>
      <c r="J27" s="157"/>
      <c r="K27" s="157"/>
      <c r="L27" s="15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31" ht="17.25" customHeight="1">
      <c r="A28" s="49">
        <f>'April 1, 2019'!B28*1.015</f>
        <v>37.133363651486185</v>
      </c>
      <c r="B28" s="52" t="s">
        <v>164</v>
      </c>
      <c r="C28" s="53"/>
      <c r="D28" s="53"/>
      <c r="E28" s="53"/>
      <c r="F28" s="53"/>
      <c r="G28" s="148">
        <f t="shared" si="21"/>
        <v>0.34</v>
      </c>
      <c r="H28" s="150">
        <f t="shared" si="22"/>
        <v>0.46400000000000002</v>
      </c>
      <c r="I28" s="152">
        <v>0.46400000000000002</v>
      </c>
      <c r="J28" s="157"/>
      <c r="K28" s="157"/>
      <c r="L28" s="15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31" ht="17.25" customHeight="1">
      <c r="A29" s="49">
        <f>'April 1, 2019'!B29*1.015</f>
        <v>44.021871691182113</v>
      </c>
      <c r="B29" s="52" t="s">
        <v>165</v>
      </c>
      <c r="C29" s="53"/>
      <c r="D29" s="53"/>
      <c r="E29" s="53"/>
      <c r="F29" s="53"/>
      <c r="G29" s="148">
        <f t="shared" si="21"/>
        <v>0.40300000000000002</v>
      </c>
      <c r="H29" s="150">
        <f t="shared" si="22"/>
        <v>0.55000000000000004</v>
      </c>
      <c r="I29" s="152">
        <v>0.55000000000000004</v>
      </c>
      <c r="J29" s="157"/>
      <c r="K29" s="157"/>
      <c r="L29" s="15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31" ht="17.25" customHeight="1">
      <c r="A30" s="49">
        <f>'April 1, 2019'!B30*1.015</f>
        <v>133.04776563389396</v>
      </c>
      <c r="B30" s="52" t="s">
        <v>166</v>
      </c>
      <c r="C30" s="53"/>
      <c r="D30" s="53"/>
      <c r="E30" s="53"/>
      <c r="F30" s="53"/>
      <c r="G30" s="148">
        <f t="shared" si="21"/>
        <v>1.218</v>
      </c>
      <c r="H30" s="150">
        <f t="shared" si="22"/>
        <v>1.663</v>
      </c>
      <c r="I30" s="152">
        <v>1.663</v>
      </c>
      <c r="J30" s="157"/>
      <c r="K30" s="157"/>
      <c r="L30" s="15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31" ht="17.25" customHeight="1">
      <c r="A31" s="49">
        <f>'April 1, 2019'!B31*1.015</f>
        <v>140.52825483325117</v>
      </c>
      <c r="B31" s="52" t="s">
        <v>167</v>
      </c>
      <c r="G31" s="148">
        <f t="shared" si="21"/>
        <v>1.2869999999999999</v>
      </c>
      <c r="H31" s="150">
        <f t="shared" si="22"/>
        <v>1.7569999999999999</v>
      </c>
      <c r="I31" s="153">
        <v>1.7569999999999999</v>
      </c>
      <c r="J31" s="157"/>
      <c r="K31" s="157"/>
      <c r="L31" s="15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31" ht="17.25" customHeight="1">
      <c r="A32" s="49">
        <f>'April 1, 2019'!B32*1.015</f>
        <v>147.99528991534319</v>
      </c>
      <c r="B32" s="52" t="s">
        <v>168</v>
      </c>
      <c r="G32" s="148">
        <f t="shared" si="21"/>
        <v>1.355</v>
      </c>
      <c r="H32" s="150">
        <f t="shared" si="22"/>
        <v>1.85</v>
      </c>
      <c r="I32" s="153">
        <v>1.85</v>
      </c>
      <c r="J32" s="157"/>
      <c r="K32" s="157"/>
      <c r="L32" s="157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7.25" customHeight="1">
      <c r="A33" s="49">
        <f>'April 1, 2019'!B33*1.015</f>
        <v>193.577839209269</v>
      </c>
      <c r="B33" s="52" t="s">
        <v>169</v>
      </c>
      <c r="G33" s="148">
        <f t="shared" si="21"/>
        <v>1.7729999999999999</v>
      </c>
      <c r="H33" s="150">
        <f t="shared" si="22"/>
        <v>2.42</v>
      </c>
      <c r="I33" s="153">
        <v>2.42</v>
      </c>
      <c r="J33" s="157"/>
      <c r="K33" s="157"/>
      <c r="L33" s="15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7.25" customHeight="1">
      <c r="A34" s="49">
        <f>'April 1, 2019'!B34*1.015</f>
        <v>201.04487429136103</v>
      </c>
      <c r="B34" s="52" t="s">
        <v>170</v>
      </c>
      <c r="G34" s="148">
        <f t="shared" si="21"/>
        <v>1.841</v>
      </c>
      <c r="H34" s="150">
        <f t="shared" si="22"/>
        <v>2.5129999999999999</v>
      </c>
      <c r="I34" s="153">
        <v>2.5129999999999999</v>
      </c>
      <c r="J34" s="157"/>
      <c r="K34" s="157"/>
      <c r="L34" s="157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7.25" customHeight="1">
      <c r="A35" s="49">
        <f>'April 1, 2019'!B35*1.015</f>
        <v>208.52536349071823</v>
      </c>
      <c r="B35" s="52" t="s">
        <v>171</v>
      </c>
      <c r="G35" s="148">
        <f t="shared" si="21"/>
        <v>1.91</v>
      </c>
      <c r="H35" s="150">
        <f t="shared" si="22"/>
        <v>2.6070000000000002</v>
      </c>
      <c r="I35" s="153">
        <v>2.6070000000000002</v>
      </c>
      <c r="J35" s="157"/>
      <c r="K35" s="157"/>
      <c r="L35" s="15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7.25" customHeight="1">
      <c r="A36" s="49">
        <f>'April 1, 2019'!B36*1.015</f>
        <v>216.00585269007649</v>
      </c>
      <c r="B36" s="52" t="s">
        <v>172</v>
      </c>
      <c r="G36" s="148">
        <f t="shared" si="21"/>
        <v>1.978</v>
      </c>
      <c r="H36" s="150">
        <f t="shared" si="22"/>
        <v>2.7</v>
      </c>
      <c r="I36" s="153">
        <v>2.7</v>
      </c>
      <c r="J36" s="157"/>
      <c r="K36" s="157"/>
      <c r="L36" s="15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7.25" customHeight="1">
      <c r="A37" s="49">
        <f>'April 1, 2019'!B37*1.015</f>
        <v>237.20954149976518</v>
      </c>
      <c r="B37" s="52" t="s">
        <v>173</v>
      </c>
      <c r="G37" s="148">
        <f t="shared" si="21"/>
        <v>2.1720000000000002</v>
      </c>
      <c r="H37" s="150">
        <f t="shared" si="22"/>
        <v>2.9649999999999999</v>
      </c>
      <c r="I37" s="153">
        <v>2.9649999999999999</v>
      </c>
      <c r="J37" s="157"/>
      <c r="K37" s="157"/>
      <c r="L37" s="157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7.25" customHeight="1">
      <c r="A38" s="49">
        <f>'April 1, 2019'!B38*1.015</f>
        <v>298.02215153770612</v>
      </c>
      <c r="B38" s="52" t="s">
        <v>174</v>
      </c>
      <c r="G38" s="148">
        <f t="shared" si="21"/>
        <v>2.7290000000000001</v>
      </c>
      <c r="H38" s="150">
        <f t="shared" si="22"/>
        <v>3.7250000000000001</v>
      </c>
      <c r="I38" s="153">
        <v>3.7250000000000001</v>
      </c>
      <c r="J38" s="157"/>
      <c r="K38" s="157"/>
      <c r="L38" s="157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7.25" customHeight="1">
      <c r="A39" s="49">
        <f>'April 1, 2019'!B39*1.015</f>
        <v>305.50264073706336</v>
      </c>
      <c r="B39" s="52" t="s">
        <v>175</v>
      </c>
      <c r="G39" s="148">
        <f t="shared" si="21"/>
        <v>2.798</v>
      </c>
      <c r="H39" s="150">
        <f t="shared" si="22"/>
        <v>3.819</v>
      </c>
      <c r="I39" s="153">
        <v>4.3879999999999999</v>
      </c>
      <c r="J39" s="157"/>
      <c r="K39" s="157" t="s">
        <v>236</v>
      </c>
      <c r="L39" s="157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7.25" customHeight="1">
      <c r="A40" s="49">
        <f>'April 1, 2019'!B40*1.015</f>
        <v>312.9831299364206</v>
      </c>
      <c r="B40" s="52" t="s">
        <v>176</v>
      </c>
      <c r="G40" s="148">
        <f t="shared" si="21"/>
        <v>2.8660000000000001</v>
      </c>
      <c r="H40" s="150">
        <f t="shared" si="22"/>
        <v>3.9119999999999999</v>
      </c>
      <c r="I40" s="153">
        <v>4.4820000000000002</v>
      </c>
      <c r="J40" s="157"/>
      <c r="K40" s="157" t="s">
        <v>237</v>
      </c>
      <c r="L40" s="157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7.25" customHeight="1">
      <c r="A41" s="49">
        <f>'April 1, 2019'!B41*1.015</f>
        <v>320.4636191357788</v>
      </c>
      <c r="B41" s="52" t="s">
        <v>177</v>
      </c>
      <c r="G41" s="148">
        <f t="shared" si="21"/>
        <v>2.9350000000000001</v>
      </c>
      <c r="H41" s="150">
        <f t="shared" si="22"/>
        <v>4.0060000000000002</v>
      </c>
      <c r="I41" s="153">
        <v>4.5750000000000002</v>
      </c>
      <c r="J41" s="157"/>
      <c r="K41" s="157"/>
      <c r="L41" s="157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7.25" customHeight="1">
      <c r="A42" s="49">
        <f>'April 1, 2019'!B42*1.015</f>
        <v>327.94410833513604</v>
      </c>
      <c r="B42" s="52" t="s">
        <v>178</v>
      </c>
      <c r="G42" s="148">
        <f t="shared" si="21"/>
        <v>3.0030000000000001</v>
      </c>
      <c r="H42" s="150">
        <f t="shared" si="22"/>
        <v>4.0990000000000002</v>
      </c>
      <c r="I42" s="153">
        <v>4.6689999999999996</v>
      </c>
      <c r="J42" s="157"/>
      <c r="K42" s="157"/>
      <c r="L42" s="157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7.25" customHeight="1">
      <c r="A43" s="49">
        <f>'April 1, 2019'!B43*1.015</f>
        <v>358.2696886505164</v>
      </c>
      <c r="B43" s="52" t="s">
        <v>179</v>
      </c>
      <c r="G43" s="148">
        <f t="shared" si="21"/>
        <v>3.2810000000000001</v>
      </c>
      <c r="H43" s="150">
        <f t="shared" si="22"/>
        <v>4.4779999999999998</v>
      </c>
      <c r="I43" s="153">
        <v>5.048</v>
      </c>
      <c r="J43" s="157"/>
      <c r="K43" s="157"/>
      <c r="L43" s="157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7.25" customHeight="1">
      <c r="A44" s="49">
        <f>'April 1, 2019'!B44*1.015</f>
        <v>462.52697399999994</v>
      </c>
      <c r="B44" s="52" t="s">
        <v>192</v>
      </c>
      <c r="G44" s="148">
        <f t="shared" si="21"/>
        <v>4.2359999999999998</v>
      </c>
      <c r="H44" s="150">
        <f t="shared" si="22"/>
        <v>5.782</v>
      </c>
      <c r="I44" s="153">
        <v>5.782</v>
      </c>
      <c r="J44" s="157"/>
      <c r="K44" s="157"/>
      <c r="L44" s="157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7.75" customHeight="1">
      <c r="A45" s="41" t="s">
        <v>136</v>
      </c>
      <c r="B45" s="42" t="s">
        <v>181</v>
      </c>
      <c r="G45" s="66"/>
      <c r="H45" s="66"/>
      <c r="I45" s="66"/>
      <c r="J45" s="157"/>
      <c r="K45" s="157"/>
      <c r="L45" s="157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7.75" customHeight="1">
      <c r="A46" s="41"/>
      <c r="G46" s="72" t="s">
        <v>232</v>
      </c>
      <c r="H46" s="72" t="s">
        <v>233</v>
      </c>
      <c r="I46" s="154"/>
      <c r="J46" s="157"/>
      <c r="K46" s="157"/>
      <c r="L46" s="157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7.25" customHeight="1">
      <c r="A47" s="49">
        <f>'April 1, 2019'!B47*1.015</f>
        <v>16.467839532398216</v>
      </c>
      <c r="B47" s="52" t="s">
        <v>161</v>
      </c>
      <c r="C47" s="52"/>
      <c r="D47" s="52"/>
      <c r="E47" s="52"/>
      <c r="F47" s="52"/>
      <c r="G47" s="150">
        <f>ROUND(A47/109.2,3)</f>
        <v>0.151</v>
      </c>
      <c r="H47" s="148">
        <f>ROUND(A47/80,3)</f>
        <v>0.20599999999999999</v>
      </c>
      <c r="I47" s="155"/>
      <c r="J47" s="157"/>
      <c r="K47" s="157"/>
      <c r="L47" s="157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7.25" customHeight="1">
      <c r="A48" s="49">
        <f>'April 1, 2019'!B48*1.015</f>
        <v>23.356347572094137</v>
      </c>
      <c r="B48" s="52" t="s">
        <v>162</v>
      </c>
      <c r="C48" s="52"/>
      <c r="D48" s="52"/>
      <c r="E48" s="52"/>
      <c r="F48" s="52"/>
      <c r="G48" s="150">
        <f t="shared" ref="G48:G66" si="23">ROUND(A48/109.2,3)</f>
        <v>0.214</v>
      </c>
      <c r="H48" s="148">
        <f t="shared" ref="H48:H66" si="24">ROUND(A48/80,3)</f>
        <v>0.29199999999999998</v>
      </c>
      <c r="I48" s="155"/>
      <c r="J48" s="157"/>
      <c r="K48" s="157"/>
      <c r="L48" s="157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7.25" customHeight="1">
      <c r="A49" s="49">
        <f>'April 1, 2019'!B49*1.015</f>
        <v>30.244855611790161</v>
      </c>
      <c r="B49" s="52" t="s">
        <v>163</v>
      </c>
      <c r="C49" s="53"/>
      <c r="D49" s="53"/>
      <c r="E49" s="53"/>
      <c r="F49" s="53"/>
      <c r="G49" s="150">
        <f t="shared" si="23"/>
        <v>0.27700000000000002</v>
      </c>
      <c r="H49" s="148">
        <f t="shared" si="24"/>
        <v>0.378</v>
      </c>
      <c r="I49" s="156"/>
      <c r="J49" s="157"/>
      <c r="K49" s="157"/>
      <c r="L49" s="157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7.25" customHeight="1">
      <c r="A50" s="49">
        <f>'April 1, 2019'!B50*1.015</f>
        <v>37.133363651486185</v>
      </c>
      <c r="B50" s="52" t="s">
        <v>164</v>
      </c>
      <c r="C50" s="53"/>
      <c r="D50" s="53"/>
      <c r="E50" s="53"/>
      <c r="F50" s="53"/>
      <c r="G50" s="150">
        <f t="shared" si="23"/>
        <v>0.34</v>
      </c>
      <c r="H50" s="148">
        <f t="shared" si="24"/>
        <v>0.46400000000000002</v>
      </c>
      <c r="I50" s="156"/>
      <c r="J50" s="157"/>
      <c r="K50" s="157"/>
      <c r="L50" s="157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7.25" customHeight="1">
      <c r="A51" s="49">
        <f>'April 1, 2019'!B51*1.015</f>
        <v>44.021871691182113</v>
      </c>
      <c r="B51" s="52" t="s">
        <v>165</v>
      </c>
      <c r="C51" s="53"/>
      <c r="D51" s="53"/>
      <c r="E51" s="53"/>
      <c r="F51" s="53"/>
      <c r="G51" s="150">
        <f t="shared" si="23"/>
        <v>0.40300000000000002</v>
      </c>
      <c r="H51" s="148">
        <f t="shared" si="24"/>
        <v>0.55000000000000004</v>
      </c>
      <c r="I51" s="156"/>
      <c r="J51" s="157"/>
      <c r="K51" s="157"/>
      <c r="L51" s="157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7.25" customHeight="1">
      <c r="A52" s="49">
        <f>'April 1, 2019'!B52*1.015</f>
        <v>133.04776563389396</v>
      </c>
      <c r="B52" s="52" t="s">
        <v>166</v>
      </c>
      <c r="C52" s="53"/>
      <c r="D52" s="53"/>
      <c r="E52" s="53"/>
      <c r="F52" s="53"/>
      <c r="G52" s="150">
        <f t="shared" si="23"/>
        <v>1.218</v>
      </c>
      <c r="H52" s="148">
        <f t="shared" si="24"/>
        <v>1.663</v>
      </c>
      <c r="I52" s="156"/>
      <c r="J52" s="157"/>
      <c r="K52" s="157"/>
      <c r="L52" s="157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7.25" customHeight="1">
      <c r="A53" s="49">
        <f>'April 1, 2019'!B53*1.015</f>
        <v>140.52825483325117</v>
      </c>
      <c r="B53" s="52" t="s">
        <v>167</v>
      </c>
      <c r="G53" s="150">
        <f t="shared" si="23"/>
        <v>1.2869999999999999</v>
      </c>
      <c r="H53" s="148">
        <f t="shared" si="24"/>
        <v>1.7569999999999999</v>
      </c>
      <c r="I53" s="154"/>
      <c r="J53" s="157"/>
      <c r="K53" s="157"/>
      <c r="L53" s="157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7.25" customHeight="1">
      <c r="A54" s="49">
        <f>'April 1, 2019'!B54*1.015</f>
        <v>147.99528991534319</v>
      </c>
      <c r="B54" s="52" t="s">
        <v>168</v>
      </c>
      <c r="G54" s="150">
        <f t="shared" si="23"/>
        <v>1.355</v>
      </c>
      <c r="H54" s="148">
        <f t="shared" si="24"/>
        <v>1.85</v>
      </c>
      <c r="I54" s="154"/>
      <c r="J54" s="157"/>
      <c r="K54" s="157"/>
      <c r="L54" s="157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7.25" customHeight="1">
      <c r="A55" s="49">
        <f>'April 1, 2019'!B55*1.015</f>
        <v>193.577839209269</v>
      </c>
      <c r="B55" s="52" t="s">
        <v>169</v>
      </c>
      <c r="G55" s="150">
        <f t="shared" si="23"/>
        <v>1.7729999999999999</v>
      </c>
      <c r="H55" s="148">
        <f t="shared" si="24"/>
        <v>2.42</v>
      </c>
      <c r="I55" s="154"/>
      <c r="J55" s="157"/>
      <c r="K55" s="157"/>
      <c r="L55" s="157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7.25" customHeight="1">
      <c r="A56" s="49">
        <f>'April 1, 2019'!B56*1.015</f>
        <v>201.04487429136103</v>
      </c>
      <c r="B56" s="52" t="s">
        <v>170</v>
      </c>
      <c r="G56" s="150">
        <f t="shared" si="23"/>
        <v>1.841</v>
      </c>
      <c r="H56" s="148">
        <f t="shared" si="24"/>
        <v>2.5129999999999999</v>
      </c>
      <c r="I56" s="154"/>
      <c r="J56" s="157"/>
      <c r="K56" s="157"/>
      <c r="L56" s="157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7.25" customHeight="1">
      <c r="A57" s="49">
        <f>'April 1, 2019'!B57*1.015</f>
        <v>208.52536349071823</v>
      </c>
      <c r="B57" s="52" t="s">
        <v>171</v>
      </c>
      <c r="G57" s="150">
        <f t="shared" si="23"/>
        <v>1.91</v>
      </c>
      <c r="H57" s="148">
        <f t="shared" si="24"/>
        <v>2.6070000000000002</v>
      </c>
      <c r="I57" s="154"/>
      <c r="J57" s="157"/>
      <c r="K57" s="157"/>
      <c r="L57" s="157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7.25" customHeight="1">
      <c r="A58" s="49">
        <f>'April 1, 2019'!B58*1.015</f>
        <v>216.00585269007649</v>
      </c>
      <c r="B58" s="52" t="s">
        <v>172</v>
      </c>
      <c r="G58" s="150">
        <f t="shared" si="23"/>
        <v>1.978</v>
      </c>
      <c r="H58" s="148">
        <f t="shared" si="24"/>
        <v>2.7</v>
      </c>
      <c r="I58" s="154"/>
      <c r="J58" s="157"/>
      <c r="K58" s="157"/>
      <c r="L58" s="157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7.25" customHeight="1">
      <c r="A59" s="49">
        <f>'April 1, 2019'!B59*1.015</f>
        <v>237.20954149976518</v>
      </c>
      <c r="B59" s="52" t="s">
        <v>173</v>
      </c>
      <c r="G59" s="150">
        <f t="shared" si="23"/>
        <v>2.1720000000000002</v>
      </c>
      <c r="H59" s="148">
        <f t="shared" si="24"/>
        <v>2.9649999999999999</v>
      </c>
      <c r="I59" s="154"/>
      <c r="J59" s="157"/>
      <c r="K59" s="157"/>
      <c r="L59" s="157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7.25" customHeight="1">
      <c r="A60" s="49">
        <f>'April 1, 2019'!B60*1.015</f>
        <v>298.02215153770612</v>
      </c>
      <c r="B60" s="52" t="s">
        <v>174</v>
      </c>
      <c r="G60" s="150">
        <f t="shared" si="23"/>
        <v>2.7290000000000001</v>
      </c>
      <c r="H60" s="148">
        <f t="shared" si="24"/>
        <v>3.7250000000000001</v>
      </c>
      <c r="I60" s="154"/>
      <c r="J60" s="157"/>
      <c r="K60" s="157"/>
      <c r="L60" s="157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7.25" customHeight="1">
      <c r="A61" s="49">
        <f>'April 1, 2019'!B61*1.015</f>
        <v>351.06066198706361</v>
      </c>
      <c r="B61" s="52" t="s">
        <v>175</v>
      </c>
      <c r="G61" s="150">
        <f t="shared" si="23"/>
        <v>3.2149999999999999</v>
      </c>
      <c r="H61" s="148">
        <f t="shared" si="24"/>
        <v>4.3879999999999999</v>
      </c>
      <c r="I61" s="154"/>
      <c r="J61" s="157"/>
      <c r="K61" s="157"/>
      <c r="L61" s="157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7.25" customHeight="1">
      <c r="A62" s="49">
        <f>'April 1, 2019'!B62*1.015</f>
        <v>358.54115118642096</v>
      </c>
      <c r="B62" s="52" t="s">
        <v>176</v>
      </c>
      <c r="G62" s="150">
        <f t="shared" si="23"/>
        <v>3.2829999999999999</v>
      </c>
      <c r="H62" s="148">
        <f t="shared" si="24"/>
        <v>4.4820000000000002</v>
      </c>
      <c r="I62" s="154"/>
      <c r="J62" s="157"/>
      <c r="K62" s="157"/>
      <c r="L62" s="15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7.25" customHeight="1">
      <c r="A63" s="49">
        <f>'April 1, 2019'!B63*1.015</f>
        <v>366.02164038577837</v>
      </c>
      <c r="B63" s="52" t="s">
        <v>177</v>
      </c>
      <c r="G63" s="150">
        <f t="shared" si="23"/>
        <v>3.3519999999999999</v>
      </c>
      <c r="H63" s="148">
        <f t="shared" si="24"/>
        <v>4.5750000000000002</v>
      </c>
      <c r="I63" s="154"/>
      <c r="J63" s="157"/>
      <c r="K63" s="157"/>
      <c r="L63" s="15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7.25" customHeight="1">
      <c r="A64" s="49">
        <f>'April 1, 2019'!B64*1.015</f>
        <v>373.50212958513583</v>
      </c>
      <c r="B64" s="52" t="s">
        <v>178</v>
      </c>
      <c r="G64" s="150">
        <f t="shared" si="23"/>
        <v>3.42</v>
      </c>
      <c r="H64" s="148">
        <f t="shared" si="24"/>
        <v>4.6689999999999996</v>
      </c>
      <c r="I64" s="154"/>
      <c r="J64" s="157"/>
      <c r="K64" s="157"/>
      <c r="L64" s="157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7.25" customHeight="1">
      <c r="A65" s="49">
        <f>'April 1, 2019'!B65*1.015</f>
        <v>403.8277099005162</v>
      </c>
      <c r="B65" s="52" t="s">
        <v>179</v>
      </c>
      <c r="G65" s="150">
        <f t="shared" si="23"/>
        <v>3.698</v>
      </c>
      <c r="H65" s="148">
        <f t="shared" si="24"/>
        <v>5.048</v>
      </c>
      <c r="I65" s="154"/>
      <c r="J65" s="157"/>
      <c r="K65" s="157"/>
      <c r="L65" s="157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7.25" customHeight="1">
      <c r="A66" s="49">
        <f>'April 1, 2019'!B66*1.015</f>
        <v>462.56728240051615</v>
      </c>
      <c r="B66" s="52" t="s">
        <v>180</v>
      </c>
      <c r="G66" s="150">
        <f t="shared" si="23"/>
        <v>4.2359999999999998</v>
      </c>
      <c r="H66" s="148">
        <f t="shared" si="24"/>
        <v>5.782</v>
      </c>
      <c r="I66" s="154"/>
      <c r="J66" s="157"/>
      <c r="K66" s="157"/>
      <c r="L66" s="157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77"/>
      <c r="O67" s="69"/>
    </row>
    <row r="68" spans="1:25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77"/>
      <c r="O68" s="69"/>
    </row>
    <row r="69" spans="1:25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77"/>
      <c r="O69" s="69"/>
    </row>
    <row r="70" spans="1:25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77"/>
      <c r="O70" s="69"/>
    </row>
    <row r="71" spans="1:25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77"/>
      <c r="O71" s="69"/>
    </row>
    <row r="72" spans="1:25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77"/>
      <c r="O72" s="69"/>
    </row>
    <row r="73" spans="1:25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77"/>
      <c r="O73" s="69"/>
    </row>
    <row r="74" spans="1:25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77"/>
      <c r="O74" s="69"/>
    </row>
    <row r="75" spans="1:25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77"/>
      <c r="O75" s="69"/>
    </row>
    <row r="76" spans="1:25"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77"/>
      <c r="O76" s="69"/>
    </row>
    <row r="77" spans="1:25">
      <c r="A77" s="41"/>
      <c r="B77" s="52"/>
    </row>
    <row r="78" spans="1:25">
      <c r="A78" s="41"/>
    </row>
    <row r="79" spans="1:25">
      <c r="A79" s="51"/>
    </row>
    <row r="80" spans="1:25">
      <c r="A80" s="51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</row>
    <row r="81" spans="1:14">
      <c r="A81" s="51"/>
      <c r="B81" s="288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84"/>
    </row>
    <row r="82" spans="1:14">
      <c r="A82" s="51"/>
      <c r="B82" s="52"/>
      <c r="N82" s="84"/>
    </row>
    <row r="83" spans="1:14">
      <c r="A83" s="51"/>
      <c r="B83" s="52"/>
      <c r="N83" s="84"/>
    </row>
    <row r="84" spans="1:14">
      <c r="A84" s="51"/>
      <c r="B84" s="52"/>
      <c r="N84" s="84"/>
    </row>
    <row r="85" spans="1:14">
      <c r="A85" s="51"/>
      <c r="B85" s="52"/>
      <c r="N85" s="84"/>
    </row>
    <row r="86" spans="1:14">
      <c r="A86" s="51"/>
      <c r="B86" s="52"/>
      <c r="N86" s="84"/>
    </row>
    <row r="87" spans="1:14">
      <c r="A87" s="51"/>
      <c r="B87" s="52"/>
      <c r="N87" s="84"/>
    </row>
    <row r="88" spans="1:14">
      <c r="A88" s="51"/>
      <c r="B88" s="52"/>
      <c r="N88" s="84"/>
    </row>
    <row r="89" spans="1:14">
      <c r="A89" s="51"/>
      <c r="B89" s="52"/>
      <c r="N89" s="84"/>
    </row>
    <row r="90" spans="1:14">
      <c r="A90" s="51"/>
      <c r="B90" s="52"/>
      <c r="N90" s="84"/>
    </row>
    <row r="91" spans="1:14">
      <c r="A91" s="51"/>
      <c r="B91" s="52"/>
      <c r="N91" s="84"/>
    </row>
    <row r="92" spans="1:14">
      <c r="A92" s="51"/>
      <c r="B92" s="52"/>
      <c r="N92" s="84"/>
    </row>
    <row r="93" spans="1:14">
      <c r="A93" s="51"/>
      <c r="B93" s="52"/>
      <c r="N93" s="84"/>
    </row>
    <row r="94" spans="1:14">
      <c r="A94" s="51"/>
      <c r="B94" s="52"/>
      <c r="N94" s="84"/>
    </row>
    <row r="95" spans="1:14">
      <c r="B95" s="52"/>
      <c r="N95" s="84"/>
    </row>
    <row r="96" spans="1:14">
      <c r="B96" s="52"/>
      <c r="N96" s="84"/>
    </row>
    <row r="97" spans="2:2">
      <c r="B97" s="52"/>
    </row>
    <row r="98" spans="2:2">
      <c r="B98" s="52"/>
    </row>
  </sheetData>
  <sheetProtection sheet="1" objects="1" scenarios="1"/>
  <mergeCells count="4">
    <mergeCell ref="B80:M80"/>
    <mergeCell ref="B81:M81"/>
    <mergeCell ref="Z2:AE2"/>
    <mergeCell ref="G2:L2"/>
  </mergeCells>
  <phoneticPr fontId="3" type="noConversion"/>
  <pageMargins left="0.25" right="0.25" top="0.75" bottom="0.75" header="0.3" footer="0.3"/>
  <pageSetup orientation="landscape" r:id="rId1"/>
  <headerFooter alignWithMargins="0"/>
  <rowBreaks count="2" manualBreakCount="2">
    <brk id="22" max="16383" man="1"/>
    <brk id="51" max="16383" man="1"/>
  </rowBreaks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2"/>
  <dimension ref="A1:V98"/>
  <sheetViews>
    <sheetView showGridLines="0" workbookViewId="0"/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26.86328125" style="42" bestFit="1" customWidth="1"/>
    <col min="5" max="5" width="11.1328125" style="42" hidden="1" customWidth="1"/>
    <col min="6" max="6" width="2.1328125" style="42" bestFit="1" customWidth="1"/>
    <col min="7" max="7" width="9.59765625" style="42" bestFit="1" customWidth="1"/>
    <col min="8" max="8" width="8" style="42" bestFit="1" customWidth="1"/>
    <col min="9" max="11" width="6.59765625" style="42" customWidth="1"/>
    <col min="12" max="12" width="11" style="42" bestFit="1" customWidth="1"/>
    <col min="13" max="13" width="11" style="42" customWidth="1"/>
    <col min="14" max="14" width="14.3984375" style="46" hidden="1" customWidth="1"/>
    <col min="15" max="15" width="11" style="44" hidden="1" customWidth="1"/>
    <col min="16" max="16" width="26.86328125" style="42" hidden="1" customWidth="1"/>
    <col min="17" max="22" width="11" style="42" hidden="1" customWidth="1"/>
    <col min="23" max="16384" width="9.1328125" style="42"/>
  </cols>
  <sheetData>
    <row r="1" spans="1:22" ht="18">
      <c r="A1" s="168" t="s">
        <v>140</v>
      </c>
      <c r="B1" s="169"/>
      <c r="C1" s="169"/>
      <c r="D1" s="169"/>
      <c r="E1" s="170"/>
      <c r="F1" s="41"/>
      <c r="G1" s="192"/>
      <c r="H1" s="41"/>
    </row>
    <row r="2" spans="1:22" ht="25.9" thickBot="1">
      <c r="A2" s="172" t="s">
        <v>184</v>
      </c>
      <c r="B2" s="44"/>
      <c r="C2" s="44"/>
      <c r="D2" s="41"/>
      <c r="E2" s="41"/>
      <c r="G2" s="294" t="s">
        <v>80</v>
      </c>
      <c r="H2" s="294"/>
      <c r="I2" s="294"/>
      <c r="J2" s="294"/>
      <c r="K2" s="294"/>
      <c r="L2" s="294"/>
      <c r="M2" s="41"/>
      <c r="N2" s="44"/>
      <c r="Q2" s="295" t="s">
        <v>198</v>
      </c>
      <c r="R2" s="295"/>
      <c r="S2" s="295"/>
      <c r="T2" s="295"/>
      <c r="U2" s="295"/>
      <c r="V2" s="295"/>
    </row>
    <row r="3" spans="1:22" ht="30" customHeight="1" thickBot="1">
      <c r="A3" s="175" t="s">
        <v>137</v>
      </c>
      <c r="B3" s="176" t="s">
        <v>114</v>
      </c>
      <c r="C3" s="176" t="s">
        <v>138</v>
      </c>
      <c r="D3" s="177" t="s">
        <v>4</v>
      </c>
      <c r="E3" s="177" t="s">
        <v>5</v>
      </c>
      <c r="F3" s="177" t="s">
        <v>6</v>
      </c>
      <c r="G3" s="176" t="s">
        <v>7</v>
      </c>
      <c r="H3" s="176" t="s">
        <v>8</v>
      </c>
      <c r="I3" s="176" t="s">
        <v>9</v>
      </c>
      <c r="J3" s="176" t="s">
        <v>10</v>
      </c>
      <c r="K3" s="176" t="s">
        <v>11</v>
      </c>
      <c r="L3" s="178" t="s">
        <v>12</v>
      </c>
      <c r="M3" s="45"/>
      <c r="N3" s="45"/>
      <c r="O3" s="62" t="s">
        <v>138</v>
      </c>
      <c r="P3" s="60" t="s">
        <v>4</v>
      </c>
      <c r="Q3" s="62" t="s">
        <v>7</v>
      </c>
      <c r="R3" s="62" t="s">
        <v>8</v>
      </c>
      <c r="S3" s="62" t="s">
        <v>9</v>
      </c>
      <c r="T3" s="62" t="s">
        <v>10</v>
      </c>
      <c r="U3" s="62" t="s">
        <v>11</v>
      </c>
      <c r="V3" s="62" t="s">
        <v>12</v>
      </c>
    </row>
    <row r="4" spans="1:22" ht="18.75" customHeight="1">
      <c r="A4" s="179" t="s">
        <v>157</v>
      </c>
      <c r="B4" s="173" t="s">
        <v>115</v>
      </c>
      <c r="C4" s="173" t="s">
        <v>156</v>
      </c>
      <c r="D4" s="174" t="s">
        <v>84</v>
      </c>
      <c r="E4" s="171"/>
      <c r="F4" s="173" t="s">
        <v>17</v>
      </c>
      <c r="G4" s="185">
        <f>VLOOKUP(A4,'January 1, 2020'!$A$3:$L$17,7,0)*1.0175</f>
        <v>1732.086782913791</v>
      </c>
      <c r="H4" s="186"/>
      <c r="I4" s="186"/>
      <c r="J4" s="186"/>
      <c r="K4" s="186"/>
      <c r="L4" s="187"/>
      <c r="M4" s="45"/>
      <c r="N4" s="142" t="s">
        <v>143</v>
      </c>
      <c r="O4" s="63" t="s">
        <v>156</v>
      </c>
      <c r="P4" s="59" t="s">
        <v>84</v>
      </c>
      <c r="Q4" s="143">
        <f>ROUND(G4/80,3)</f>
        <v>21.651</v>
      </c>
      <c r="R4" s="143"/>
      <c r="S4" s="143"/>
      <c r="T4" s="143"/>
      <c r="U4" s="143"/>
      <c r="V4" s="143"/>
    </row>
    <row r="5" spans="1:22" ht="18.75" customHeight="1">
      <c r="A5" s="180" t="s">
        <v>15</v>
      </c>
      <c r="B5" s="63" t="s">
        <v>115</v>
      </c>
      <c r="C5" s="63" t="s">
        <v>235</v>
      </c>
      <c r="D5" s="59" t="s">
        <v>16</v>
      </c>
      <c r="E5" s="59">
        <v>353</v>
      </c>
      <c r="F5" s="63" t="s">
        <v>17</v>
      </c>
      <c r="G5" s="188">
        <f>VLOOKUP($A5,'January 1, 2020'!$A$3:$L$17,7,0)*1.0175</f>
        <v>2474.4096898768448</v>
      </c>
      <c r="H5" s="188">
        <f>VLOOKUP($A5,'January 1, 2020'!$A$3:$L$17,8,0)*1.0175</f>
        <v>2573.3860774719174</v>
      </c>
      <c r="I5" s="188">
        <f>VLOOKUP($A5,'January 1, 2020'!$A$3:$L$17,9,0)*1.0175</f>
        <v>2676.3215205707947</v>
      </c>
      <c r="J5" s="188">
        <f>VLOOKUP($A5,'January 1, 2020'!$A$3:$L$17,10,0)*1.0175</f>
        <v>2783.3743813936267</v>
      </c>
      <c r="K5" s="188">
        <f>VLOOKUP($A5,'January 1, 2020'!$A$3:$L$17,11,0)*1.0175</f>
        <v>2894.7093566493722</v>
      </c>
      <c r="L5" s="189">
        <f>VLOOKUP($A5,'January 1, 2020'!$A$3:$L$17,12,0)*1.0175</f>
        <v>3010.4977309153473</v>
      </c>
      <c r="M5" s="47"/>
      <c r="N5" s="46" t="s">
        <v>144</v>
      </c>
      <c r="O5" s="63" t="s">
        <v>235</v>
      </c>
      <c r="P5" s="59" t="s">
        <v>16</v>
      </c>
      <c r="Q5" s="143">
        <f>ROUND(G5/109.2,3)</f>
        <v>22.658999999999999</v>
      </c>
      <c r="R5" s="143">
        <f>ROUND(H5/109.2,3)</f>
        <v>23.565999999999999</v>
      </c>
      <c r="S5" s="143">
        <f t="shared" ref="S5:V5" si="0">ROUND(I5/109.2,3)</f>
        <v>24.507999999999999</v>
      </c>
      <c r="T5" s="143">
        <f t="shared" si="0"/>
        <v>25.489000000000001</v>
      </c>
      <c r="U5" s="143">
        <f t="shared" si="0"/>
        <v>26.507999999999999</v>
      </c>
      <c r="V5" s="143">
        <f t="shared" si="0"/>
        <v>27.568999999999999</v>
      </c>
    </row>
    <row r="6" spans="1:22" ht="18.75" customHeight="1">
      <c r="A6" s="180" t="s">
        <v>19</v>
      </c>
      <c r="B6" s="63" t="s">
        <v>115</v>
      </c>
      <c r="C6" s="63" t="s">
        <v>234</v>
      </c>
      <c r="D6" s="59" t="s">
        <v>20</v>
      </c>
      <c r="E6" s="59">
        <v>353</v>
      </c>
      <c r="F6" s="63" t="s">
        <v>17</v>
      </c>
      <c r="G6" s="188">
        <f>VLOOKUP($A6,'January 1, 2020'!$A$3:$L$17,7,0)*1.0175</f>
        <v>2474.4096898768448</v>
      </c>
      <c r="H6" s="188">
        <f>VLOOKUP($A6,'January 1, 2020'!$A$3:$L$17,8,0)*1.0175</f>
        <v>2573.3860774719174</v>
      </c>
      <c r="I6" s="188">
        <f>VLOOKUP($A6,'January 1, 2020'!$A$3:$L$17,9,0)*1.0175</f>
        <v>2676.3215205707947</v>
      </c>
      <c r="J6" s="188">
        <f>VLOOKUP($A6,'January 1, 2020'!$A$3:$L$17,10,0)*1.0175</f>
        <v>2783.3743813936267</v>
      </c>
      <c r="K6" s="188">
        <f>VLOOKUP($A6,'January 1, 2020'!$A$3:$L$17,11,0)*1.0175</f>
        <v>2894.7093566493722</v>
      </c>
      <c r="L6" s="189">
        <f>VLOOKUP($A6,'January 1, 2020'!$A$3:$L$17,12,0)*1.0175</f>
        <v>3010.4977309153473</v>
      </c>
      <c r="M6" s="47"/>
      <c r="N6" s="46" t="s">
        <v>143</v>
      </c>
      <c r="O6" s="63" t="s">
        <v>234</v>
      </c>
      <c r="P6" s="59" t="s">
        <v>20</v>
      </c>
      <c r="Q6" s="143">
        <f>ROUND(G6/80,3)</f>
        <v>30.93</v>
      </c>
      <c r="R6" s="143">
        <f t="shared" ref="R6:V6" si="1">ROUND(H6/80,3)</f>
        <v>32.167000000000002</v>
      </c>
      <c r="S6" s="143">
        <f t="shared" si="1"/>
        <v>33.454000000000001</v>
      </c>
      <c r="T6" s="143">
        <f t="shared" si="1"/>
        <v>34.792000000000002</v>
      </c>
      <c r="U6" s="143">
        <f t="shared" si="1"/>
        <v>36.183999999999997</v>
      </c>
      <c r="V6" s="143">
        <f t="shared" si="1"/>
        <v>37.631</v>
      </c>
    </row>
    <row r="7" spans="1:22" ht="18.75" customHeight="1">
      <c r="A7" s="180" t="s">
        <v>21</v>
      </c>
      <c r="B7" s="63" t="s">
        <v>115</v>
      </c>
      <c r="C7" s="63" t="s">
        <v>148</v>
      </c>
      <c r="D7" s="59" t="s">
        <v>22</v>
      </c>
      <c r="E7" s="59"/>
      <c r="F7" s="63" t="s">
        <v>17</v>
      </c>
      <c r="G7" s="188">
        <f>VLOOKUP($A7,'January 1, 2020'!$A$3:$L$17,7,0)*1.0175</f>
        <v>2474.4096898768448</v>
      </c>
      <c r="H7" s="188">
        <f>VLOOKUP($A7,'January 1, 2020'!$A$3:$L$17,8,0)*1.0175</f>
        <v>2573.3860774719174</v>
      </c>
      <c r="I7" s="188">
        <f>VLOOKUP($A7,'January 1, 2020'!$A$3:$L$17,9,0)*1.0175</f>
        <v>2676.3215205707947</v>
      </c>
      <c r="J7" s="188">
        <f>VLOOKUP($A7,'January 1, 2020'!$A$3:$L$17,10,0)*1.0175</f>
        <v>2783.3743813936267</v>
      </c>
      <c r="K7" s="188">
        <f>VLOOKUP($A7,'January 1, 2020'!$A$3:$L$17,11,0)*1.0175</f>
        <v>2894.7093566493722</v>
      </c>
      <c r="L7" s="189">
        <f>VLOOKUP($A7,'January 1, 2020'!$A$3:$L$17,12,0)*1.0175</f>
        <v>3010.4977309153473</v>
      </c>
      <c r="M7" s="47"/>
      <c r="N7" s="46" t="s">
        <v>144</v>
      </c>
      <c r="O7" s="63" t="s">
        <v>148</v>
      </c>
      <c r="P7" s="59" t="s">
        <v>22</v>
      </c>
      <c r="Q7" s="143">
        <f t="shared" ref="Q7:V7" si="2">ROUND(G7/109.2,3)</f>
        <v>22.658999999999999</v>
      </c>
      <c r="R7" s="143">
        <f t="shared" si="2"/>
        <v>23.565999999999999</v>
      </c>
      <c r="S7" s="143">
        <f t="shared" si="2"/>
        <v>24.507999999999999</v>
      </c>
      <c r="T7" s="143">
        <f t="shared" si="2"/>
        <v>25.489000000000001</v>
      </c>
      <c r="U7" s="143">
        <f t="shared" si="2"/>
        <v>26.507999999999999</v>
      </c>
      <c r="V7" s="143">
        <f t="shared" si="2"/>
        <v>27.568999999999999</v>
      </c>
    </row>
    <row r="8" spans="1:22" ht="18.75" customHeight="1">
      <c r="A8" s="180" t="s">
        <v>23</v>
      </c>
      <c r="B8" s="63" t="s">
        <v>115</v>
      </c>
      <c r="C8" s="63" t="s">
        <v>150</v>
      </c>
      <c r="D8" s="59" t="s">
        <v>24</v>
      </c>
      <c r="E8" s="59"/>
      <c r="F8" s="63" t="s">
        <v>17</v>
      </c>
      <c r="G8" s="188">
        <f>VLOOKUP($A8,'January 1, 2020'!$A$3:$L$17,7,0)*1.0175</f>
        <v>3067.353557114413</v>
      </c>
      <c r="H8" s="188">
        <f>VLOOKUP($A8,'January 1, 2020'!$A$3:$L$17,8,0)*1.0175</f>
        <v>3187.8034591530245</v>
      </c>
      <c r="I8" s="188">
        <f>VLOOKUP($A8,'January 1, 2020'!$A$3:$L$17,9,0)*1.0175</f>
        <v>3381.4849239106338</v>
      </c>
      <c r="J8" s="188"/>
      <c r="K8" s="188"/>
      <c r="L8" s="189"/>
      <c r="M8" s="47"/>
      <c r="N8" s="46" t="s">
        <v>144</v>
      </c>
      <c r="O8" s="63" t="s">
        <v>150</v>
      </c>
      <c r="P8" s="59" t="s">
        <v>24</v>
      </c>
      <c r="Q8" s="143">
        <f>ROUND(G8/109.2,3)</f>
        <v>28.088999999999999</v>
      </c>
      <c r="R8" s="143">
        <f>ROUND(H8/109.2,3)</f>
        <v>29.192</v>
      </c>
      <c r="S8" s="143">
        <f>ROUND(I8/109.2,3)</f>
        <v>30.966000000000001</v>
      </c>
      <c r="T8" s="143"/>
      <c r="U8" s="143"/>
      <c r="V8" s="143"/>
    </row>
    <row r="9" spans="1:22" ht="18.75" customHeight="1">
      <c r="A9" s="180" t="s">
        <v>195</v>
      </c>
      <c r="B9" s="63" t="s">
        <v>115</v>
      </c>
      <c r="C9" s="63" t="s">
        <v>151</v>
      </c>
      <c r="D9" s="59" t="s">
        <v>26</v>
      </c>
      <c r="E9" s="59"/>
      <c r="F9" s="63" t="s">
        <v>17</v>
      </c>
      <c r="G9" s="188">
        <f>VLOOKUP($A9,'January 1, 2020'!$A$3:$L$17,7,0)*1.0175</f>
        <v>3067.353557114413</v>
      </c>
      <c r="H9" s="188">
        <f>VLOOKUP($A9,'January 1, 2020'!$A$3:$L$17,8,0)*1.0175</f>
        <v>3187.8034591530245</v>
      </c>
      <c r="I9" s="188">
        <f>VLOOKUP($A9,'January 1, 2020'!$A$3:$L$17,9,0)*1.0175</f>
        <v>3381.4849239106338</v>
      </c>
      <c r="J9" s="188"/>
      <c r="K9" s="188"/>
      <c r="L9" s="189"/>
      <c r="M9" s="47"/>
      <c r="N9" s="46" t="s">
        <v>143</v>
      </c>
      <c r="O9" s="63" t="s">
        <v>151</v>
      </c>
      <c r="P9" s="59" t="s">
        <v>26</v>
      </c>
      <c r="Q9" s="143">
        <f>ROUND(G9/80,3)</f>
        <v>38.341999999999999</v>
      </c>
      <c r="R9" s="143">
        <f>ROUND(H9/80,3)</f>
        <v>39.847999999999999</v>
      </c>
      <c r="S9" s="143">
        <f>I9/80</f>
        <v>42.268561548882921</v>
      </c>
      <c r="T9" s="143"/>
      <c r="U9" s="143"/>
      <c r="V9" s="143"/>
    </row>
    <row r="10" spans="1:22" ht="18.75" customHeight="1">
      <c r="A10" s="180" t="s">
        <v>27</v>
      </c>
      <c r="B10" s="63" t="s">
        <v>115</v>
      </c>
      <c r="C10" s="63" t="s">
        <v>150</v>
      </c>
      <c r="D10" s="59" t="s">
        <v>28</v>
      </c>
      <c r="E10" s="59"/>
      <c r="F10" s="63" t="s">
        <v>17</v>
      </c>
      <c r="G10" s="188">
        <f>VLOOKUP($A10,'January 1, 2020'!$A$3:$L$17,7,0)*1.0175</f>
        <v>3067.353557114413</v>
      </c>
      <c r="H10" s="188">
        <f>VLOOKUP($A10,'January 1, 2020'!$A$3:$L$17,8,0)*1.0175</f>
        <v>3187.8034591530245</v>
      </c>
      <c r="I10" s="188">
        <f>VLOOKUP($A10,'January 1, 2020'!$A$3:$L$17,9,0)*1.0175</f>
        <v>3381.4849239106338</v>
      </c>
      <c r="J10" s="188"/>
      <c r="K10" s="188"/>
      <c r="L10" s="189"/>
      <c r="M10" s="47"/>
      <c r="N10" s="46" t="s">
        <v>144</v>
      </c>
      <c r="O10" s="63" t="s">
        <v>150</v>
      </c>
      <c r="P10" s="59" t="s">
        <v>28</v>
      </c>
      <c r="Q10" s="143">
        <f>ROUND(G10/109.2,3)</f>
        <v>28.088999999999999</v>
      </c>
      <c r="R10" s="143">
        <f t="shared" ref="R10:S11" si="3">ROUND(H10/109.2,3)</f>
        <v>29.192</v>
      </c>
      <c r="S10" s="143">
        <f t="shared" si="3"/>
        <v>30.966000000000001</v>
      </c>
      <c r="T10" s="143"/>
      <c r="U10" s="143"/>
      <c r="V10" s="143"/>
    </row>
    <row r="11" spans="1:22" ht="18.75" customHeight="1">
      <c r="A11" s="180" t="s">
        <v>29</v>
      </c>
      <c r="B11" s="63" t="s">
        <v>115</v>
      </c>
      <c r="C11" s="63" t="s">
        <v>152</v>
      </c>
      <c r="D11" s="59" t="s">
        <v>30</v>
      </c>
      <c r="E11" s="59"/>
      <c r="F11" s="63" t="s">
        <v>17</v>
      </c>
      <c r="G11" s="188">
        <f>VLOOKUP($A11,'January 1, 2020'!$A$3:$L$17,7,0)*1.0175</f>
        <v>3476.8832240456882</v>
      </c>
      <c r="H11" s="188">
        <f>VLOOKUP($A11,'January 1, 2020'!$A$3:$L$17,8,0)*1.0175</f>
        <v>3614.7314452676528</v>
      </c>
      <c r="I11" s="188">
        <f>VLOOKUP($A11,'January 1, 2020'!$A$3:$L$17,9,0)*1.0175</f>
        <v>3835.9784592406527</v>
      </c>
      <c r="J11" s="188"/>
      <c r="K11" s="188"/>
      <c r="L11" s="189"/>
      <c r="M11" s="47"/>
      <c r="N11" s="46" t="s">
        <v>144</v>
      </c>
      <c r="O11" s="63" t="s">
        <v>152</v>
      </c>
      <c r="P11" s="59" t="s">
        <v>30</v>
      </c>
      <c r="Q11" s="143">
        <f>ROUND(G11/109.2,3)</f>
        <v>31.84</v>
      </c>
      <c r="R11" s="143">
        <f t="shared" si="3"/>
        <v>33.101999999999997</v>
      </c>
      <c r="S11" s="143">
        <f t="shared" si="3"/>
        <v>35.128</v>
      </c>
      <c r="T11" s="143"/>
      <c r="U11" s="143"/>
      <c r="V11" s="143"/>
    </row>
    <row r="12" spans="1:22" ht="18.75" customHeight="1">
      <c r="A12" s="180" t="s">
        <v>31</v>
      </c>
      <c r="B12" s="63" t="s">
        <v>115</v>
      </c>
      <c r="C12" s="63" t="s">
        <v>153</v>
      </c>
      <c r="D12" s="59" t="s">
        <v>32</v>
      </c>
      <c r="E12" s="59"/>
      <c r="F12" s="63" t="s">
        <v>17</v>
      </c>
      <c r="G12" s="188">
        <f>VLOOKUP($A12,'January 1, 2020'!$A$3:$L$17,7,0)*1.0175</f>
        <v>3476.8832240456882</v>
      </c>
      <c r="H12" s="188">
        <f>VLOOKUP($A12,'January 1, 2020'!$A$3:$L$17,8,0)*1.0175</f>
        <v>3614.7314452676528</v>
      </c>
      <c r="I12" s="188">
        <f>VLOOKUP($A12,'January 1, 2020'!$A$3:$L$17,9,0)*1.0175</f>
        <v>3835.9784592406527</v>
      </c>
      <c r="J12" s="188"/>
      <c r="K12" s="188"/>
      <c r="L12" s="189"/>
      <c r="M12" s="47"/>
      <c r="N12" s="46" t="s">
        <v>143</v>
      </c>
      <c r="O12" s="63" t="s">
        <v>153</v>
      </c>
      <c r="P12" s="59" t="s">
        <v>32</v>
      </c>
      <c r="Q12" s="143">
        <f>ROUND(G12/80,3)</f>
        <v>43.460999999999999</v>
      </c>
      <c r="R12" s="143">
        <f t="shared" ref="R12:S12" si="4">ROUND(H12/80,3)</f>
        <v>45.183999999999997</v>
      </c>
      <c r="S12" s="143">
        <f t="shared" si="4"/>
        <v>47.95</v>
      </c>
      <c r="T12" s="143"/>
      <c r="U12" s="143"/>
      <c r="V12" s="143"/>
    </row>
    <row r="13" spans="1:22" ht="18.75" customHeight="1">
      <c r="A13" s="180" t="s">
        <v>33</v>
      </c>
      <c r="B13" s="63" t="s">
        <v>115</v>
      </c>
      <c r="C13" s="63" t="s">
        <v>152</v>
      </c>
      <c r="D13" s="59" t="s">
        <v>34</v>
      </c>
      <c r="E13" s="59"/>
      <c r="F13" s="63" t="s">
        <v>17</v>
      </c>
      <c r="G13" s="188">
        <f>VLOOKUP($A13,'January 1, 2020'!$A$3:$L$17,7,0)*1.0175</f>
        <v>3476.8832240456882</v>
      </c>
      <c r="H13" s="188">
        <f>VLOOKUP($A13,'January 1, 2020'!$A$3:$L$17,8,0)*1.0175</f>
        <v>3614.7314452676528</v>
      </c>
      <c r="I13" s="188">
        <f>VLOOKUP($A13,'January 1, 2020'!$A$3:$L$17,9,0)*1.0175</f>
        <v>3835.9784592406527</v>
      </c>
      <c r="J13" s="188"/>
      <c r="K13" s="188"/>
      <c r="L13" s="189"/>
      <c r="M13" s="47"/>
      <c r="N13" s="46" t="s">
        <v>144</v>
      </c>
      <c r="O13" s="63" t="s">
        <v>152</v>
      </c>
      <c r="P13" s="59" t="s">
        <v>34</v>
      </c>
      <c r="Q13" s="143">
        <f>ROUND(G13/109.2,3)</f>
        <v>31.84</v>
      </c>
      <c r="R13" s="143">
        <f t="shared" ref="R13:S13" si="5">ROUND(H13/109.2,3)</f>
        <v>33.101999999999997</v>
      </c>
      <c r="S13" s="143">
        <f t="shared" si="5"/>
        <v>35.128</v>
      </c>
      <c r="T13" s="143"/>
      <c r="U13" s="143"/>
      <c r="V13" s="143"/>
    </row>
    <row r="14" spans="1:22" ht="18.75" customHeight="1">
      <c r="A14" s="180" t="s">
        <v>35</v>
      </c>
      <c r="B14" s="63" t="s">
        <v>115</v>
      </c>
      <c r="C14" s="63" t="s">
        <v>153</v>
      </c>
      <c r="D14" s="59" t="s">
        <v>36</v>
      </c>
      <c r="E14" s="59"/>
      <c r="F14" s="63" t="s">
        <v>17</v>
      </c>
      <c r="G14" s="188">
        <f>VLOOKUP($A14,'January 1, 2020'!$A$3:$L$17,7,0)*1.0175</f>
        <v>3476.8832240456882</v>
      </c>
      <c r="H14" s="188">
        <f>VLOOKUP($A14,'January 1, 2020'!$A$3:$L$17,8,0)*1.0175</f>
        <v>3614.7314452676528</v>
      </c>
      <c r="I14" s="188">
        <f>VLOOKUP($A14,'January 1, 2020'!$A$3:$L$17,9,0)*1.0175</f>
        <v>3835.9784592406527</v>
      </c>
      <c r="J14" s="188"/>
      <c r="K14" s="188"/>
      <c r="L14" s="189"/>
      <c r="M14" s="47"/>
      <c r="N14" s="46" t="s">
        <v>143</v>
      </c>
      <c r="O14" s="63" t="s">
        <v>153</v>
      </c>
      <c r="P14" s="59" t="s">
        <v>36</v>
      </c>
      <c r="Q14" s="143">
        <f>ROUND(G14/80,3)</f>
        <v>43.460999999999999</v>
      </c>
      <c r="R14" s="143">
        <f t="shared" ref="R14:S14" si="6">ROUND(H14/80,3)</f>
        <v>45.183999999999997</v>
      </c>
      <c r="S14" s="143">
        <f t="shared" si="6"/>
        <v>47.95</v>
      </c>
      <c r="T14" s="143"/>
      <c r="U14" s="143"/>
      <c r="V14" s="143"/>
    </row>
    <row r="15" spans="1:22" ht="18.75" customHeight="1">
      <c r="A15" s="180" t="s">
        <v>37</v>
      </c>
      <c r="B15" s="63" t="s">
        <v>115</v>
      </c>
      <c r="C15" s="63" t="s">
        <v>152</v>
      </c>
      <c r="D15" s="59" t="s">
        <v>38</v>
      </c>
      <c r="E15" s="59"/>
      <c r="F15" s="63" t="s">
        <v>17</v>
      </c>
      <c r="G15" s="188">
        <f>VLOOKUP($A15,'January 1, 2020'!$A$3:$L$17,7,0)*1.0175</f>
        <v>3476.8832240456882</v>
      </c>
      <c r="H15" s="188">
        <f>VLOOKUP($A15,'January 1, 2020'!$A$3:$L$17,8,0)*1.0175</f>
        <v>3614.7314452676528</v>
      </c>
      <c r="I15" s="188">
        <f>VLOOKUP($A15,'January 1, 2020'!$A$3:$L$17,9,0)*1.0175</f>
        <v>3835.9784592406527</v>
      </c>
      <c r="J15" s="188"/>
      <c r="K15" s="188"/>
      <c r="L15" s="189"/>
      <c r="M15" s="47"/>
      <c r="N15" s="46" t="s">
        <v>144</v>
      </c>
      <c r="O15" s="63" t="s">
        <v>152</v>
      </c>
      <c r="P15" s="59" t="s">
        <v>38</v>
      </c>
      <c r="Q15" s="143">
        <f>ROUND(G15/109.2,3)</f>
        <v>31.84</v>
      </c>
      <c r="R15" s="143">
        <f t="shared" ref="R15:S15" si="7">ROUND(H15/109.2,3)</f>
        <v>33.101999999999997</v>
      </c>
      <c r="S15" s="143">
        <f t="shared" si="7"/>
        <v>35.128</v>
      </c>
      <c r="T15" s="143"/>
      <c r="U15" s="143"/>
      <c r="V15" s="143"/>
    </row>
    <row r="16" spans="1:22" ht="18.75" customHeight="1">
      <c r="A16" s="180" t="s">
        <v>41</v>
      </c>
      <c r="B16" s="63" t="s">
        <v>115</v>
      </c>
      <c r="C16" s="63" t="s">
        <v>154</v>
      </c>
      <c r="D16" s="65" t="s">
        <v>113</v>
      </c>
      <c r="E16" s="59"/>
      <c r="F16" s="63" t="s">
        <v>17</v>
      </c>
      <c r="G16" s="188">
        <f>VLOOKUP($A16,'January 1, 2020'!$A$3:$L$17,7,0)*1.0175</f>
        <v>3558.5214909829674</v>
      </c>
      <c r="H16" s="188">
        <f>VLOOKUP($A16,'January 1, 2020'!$A$3:$L$17,8,0)*1.0175</f>
        <v>3618.7464420022734</v>
      </c>
      <c r="I16" s="188">
        <f>VLOOKUP($A16,'January 1, 2020'!$A$3:$L$17,9,0)*1.0175</f>
        <v>3680.3097252664516</v>
      </c>
      <c r="J16" s="188">
        <f>VLOOKUP($A16,'January 1, 2020'!$A$3:$L$17,10,0)*1.0175</f>
        <v>3741.8730085306311</v>
      </c>
      <c r="K16" s="188">
        <f>VLOOKUP($A16,'January 1, 2020'!$A$3:$L$17,11,0)*1.0175</f>
        <v>3970.1361895489113</v>
      </c>
      <c r="L16" s="189"/>
      <c r="M16" s="47"/>
      <c r="N16" s="46" t="s">
        <v>144</v>
      </c>
      <c r="O16" s="63" t="s">
        <v>154</v>
      </c>
      <c r="P16" s="65" t="s">
        <v>113</v>
      </c>
      <c r="Q16" s="143">
        <f>ROUND(G16/109.2,3)</f>
        <v>32.587000000000003</v>
      </c>
      <c r="R16" s="143">
        <f t="shared" ref="R16:U16" si="8">ROUND(H16/109.2,3)</f>
        <v>33.139000000000003</v>
      </c>
      <c r="S16" s="143">
        <f t="shared" si="8"/>
        <v>33.701999999999998</v>
      </c>
      <c r="T16" s="143">
        <f t="shared" si="8"/>
        <v>34.265999999999998</v>
      </c>
      <c r="U16" s="143">
        <f t="shared" si="8"/>
        <v>36.356999999999999</v>
      </c>
      <c r="V16" s="143"/>
    </row>
    <row r="17" spans="1:22" ht="18.75" customHeight="1" thickBot="1">
      <c r="A17" s="181" t="s">
        <v>39</v>
      </c>
      <c r="B17" s="182" t="s">
        <v>115</v>
      </c>
      <c r="C17" s="182" t="s">
        <v>155</v>
      </c>
      <c r="D17" s="183" t="s">
        <v>42</v>
      </c>
      <c r="E17" s="184"/>
      <c r="F17" s="182" t="s">
        <v>17</v>
      </c>
      <c r="G17" s="190">
        <f>VLOOKUP($A17,'January 1, 2020'!$A$3:$L$17,7,0)*1.0175</f>
        <v>3558.5214909829674</v>
      </c>
      <c r="H17" s="190">
        <f>VLOOKUP($A17,'January 1, 2020'!$A$3:$L$17,8,0)*1.0175</f>
        <v>3618.7464420022734</v>
      </c>
      <c r="I17" s="190">
        <f>VLOOKUP($A17,'January 1, 2020'!$A$3:$L$17,9,0)*1.0175</f>
        <v>3680.3097252664516</v>
      </c>
      <c r="J17" s="190">
        <f>VLOOKUP($A17,'January 1, 2020'!$A$3:$L$17,10,0)*1.0175</f>
        <v>3741.8730085306311</v>
      </c>
      <c r="K17" s="190">
        <f>VLOOKUP($A17,'January 1, 2020'!$A$3:$L$17,11,0)*1.0175</f>
        <v>3970.1361895489113</v>
      </c>
      <c r="L17" s="191"/>
      <c r="M17" s="47"/>
      <c r="N17" s="46" t="s">
        <v>143</v>
      </c>
      <c r="O17" s="63" t="s">
        <v>155</v>
      </c>
      <c r="P17" s="59" t="s">
        <v>42</v>
      </c>
      <c r="Q17" s="143">
        <f>ROUND(G17/80,3)</f>
        <v>44.481999999999999</v>
      </c>
      <c r="R17" s="143">
        <f t="shared" ref="R17:U17" si="9">ROUND(H17/80,3)</f>
        <v>45.234000000000002</v>
      </c>
      <c r="S17" s="143">
        <f t="shared" si="9"/>
        <v>46.003999999999998</v>
      </c>
      <c r="T17" s="143">
        <f t="shared" si="9"/>
        <v>46.773000000000003</v>
      </c>
      <c r="U17" s="143">
        <f t="shared" si="9"/>
        <v>49.627000000000002</v>
      </c>
      <c r="V17" s="143"/>
    </row>
    <row r="18" spans="1:22" ht="27.75" customHeight="1">
      <c r="A18" s="41" t="s">
        <v>107</v>
      </c>
      <c r="C18" s="46"/>
      <c r="G18" s="46"/>
      <c r="H18" s="46"/>
      <c r="I18" s="46"/>
      <c r="J18" s="46"/>
      <c r="K18" s="46"/>
      <c r="L18" s="46"/>
      <c r="M18" s="46"/>
    </row>
    <row r="19" spans="1:22" ht="17.25" customHeight="1">
      <c r="A19" s="50" t="s">
        <v>50</v>
      </c>
      <c r="C19" s="46"/>
      <c r="G19" s="46"/>
      <c r="H19" s="46"/>
      <c r="I19" s="46"/>
      <c r="J19" s="46"/>
      <c r="K19" s="46"/>
      <c r="L19" s="46"/>
      <c r="M19" s="46"/>
    </row>
    <row r="20" spans="1:22" ht="17.25" customHeight="1">
      <c r="A20" s="42" t="s">
        <v>51</v>
      </c>
      <c r="C20" s="46"/>
      <c r="G20" s="46"/>
      <c r="H20" s="46"/>
      <c r="I20" s="46"/>
      <c r="J20" s="46"/>
      <c r="K20" s="46"/>
      <c r="L20" s="46"/>
      <c r="M20" s="46"/>
    </row>
    <row r="21" spans="1:22" ht="17.25" customHeight="1">
      <c r="A21" s="50" t="s">
        <v>52</v>
      </c>
      <c r="B21" s="46"/>
      <c r="C21" s="46"/>
    </row>
    <row r="22" spans="1:22" ht="17.25" customHeight="1">
      <c r="A22" s="50"/>
      <c r="B22" s="46"/>
      <c r="C22" s="46"/>
    </row>
    <row r="23" spans="1:22" ht="27.75" customHeight="1">
      <c r="A23" s="41" t="s">
        <v>136</v>
      </c>
      <c r="B23" s="42" t="s">
        <v>160</v>
      </c>
    </row>
    <row r="24" spans="1:22" ht="27.75" customHeight="1">
      <c r="A24" s="147">
        <v>16.756026724215186</v>
      </c>
      <c r="G24" s="72" t="s">
        <v>273</v>
      </c>
      <c r="H24" s="72" t="s">
        <v>274</v>
      </c>
    </row>
    <row r="25" spans="1:22" ht="17.25" customHeight="1">
      <c r="A25" s="49">
        <f>'January 1, 2020'!A25*1.0175</f>
        <v>16.756026724215186</v>
      </c>
      <c r="B25" s="52" t="s">
        <v>161</v>
      </c>
      <c r="C25" s="52"/>
      <c r="D25" s="52"/>
      <c r="E25" s="52"/>
      <c r="F25" s="52"/>
      <c r="G25" s="148">
        <f>ROUND(A25/109.2,3)</f>
        <v>0.153</v>
      </c>
      <c r="H25" s="149">
        <f>ROUND(A25/80,3)</f>
        <v>0.20899999999999999</v>
      </c>
      <c r="I25" s="52"/>
      <c r="J25" s="52"/>
      <c r="K25" s="52"/>
      <c r="L25" s="52"/>
      <c r="M25" s="52"/>
      <c r="N25" s="140"/>
    </row>
    <row r="26" spans="1:22" ht="17.25" customHeight="1">
      <c r="A26" s="49">
        <f>'January 1, 2020'!A26*1.0175</f>
        <v>23.765083654605785</v>
      </c>
      <c r="B26" s="52" t="s">
        <v>162</v>
      </c>
      <c r="C26" s="52"/>
      <c r="D26" s="52"/>
      <c r="E26" s="52"/>
      <c r="F26" s="52"/>
      <c r="G26" s="148">
        <f t="shared" ref="G26:G43" si="10">ROUND(A26/109.2,3)</f>
        <v>0.218</v>
      </c>
      <c r="H26" s="149">
        <f t="shared" ref="H26:H43" si="11">ROUND(A26/80,3)</f>
        <v>0.29699999999999999</v>
      </c>
      <c r="I26" s="52"/>
      <c r="J26" s="52"/>
      <c r="K26" s="52"/>
      <c r="L26" s="52"/>
      <c r="M26" s="52"/>
      <c r="N26" s="140"/>
      <c r="S26" s="51"/>
    </row>
    <row r="27" spans="1:22" ht="17.25" customHeight="1">
      <c r="A27" s="49">
        <f>'January 1, 2020'!A27*1.0175</f>
        <v>30.774140584996491</v>
      </c>
      <c r="B27" s="52" t="s">
        <v>163</v>
      </c>
      <c r="C27" s="53"/>
      <c r="D27" s="53"/>
      <c r="E27" s="53"/>
      <c r="F27" s="53"/>
      <c r="G27" s="148">
        <f t="shared" si="10"/>
        <v>0.28199999999999997</v>
      </c>
      <c r="H27" s="149">
        <f t="shared" si="11"/>
        <v>0.38500000000000001</v>
      </c>
      <c r="I27" s="53"/>
      <c r="J27" s="53"/>
      <c r="K27" s="53"/>
      <c r="L27" s="53"/>
      <c r="M27" s="53"/>
      <c r="N27" s="140"/>
      <c r="S27" s="51"/>
    </row>
    <row r="28" spans="1:22" ht="17.25" customHeight="1">
      <c r="A28" s="49">
        <f>'January 1, 2020'!A28*1.0175</f>
        <v>37.783197515387194</v>
      </c>
      <c r="B28" s="52" t="s">
        <v>164</v>
      </c>
      <c r="C28" s="53"/>
      <c r="D28" s="53"/>
      <c r="E28" s="53"/>
      <c r="F28" s="53"/>
      <c r="G28" s="148">
        <f t="shared" si="10"/>
        <v>0.34599999999999997</v>
      </c>
      <c r="H28" s="149">
        <f t="shared" si="11"/>
        <v>0.47199999999999998</v>
      </c>
      <c r="I28" s="53"/>
      <c r="J28" s="53"/>
      <c r="K28" s="53"/>
      <c r="L28" s="53"/>
      <c r="M28" s="53"/>
      <c r="N28" s="140"/>
      <c r="S28" s="51"/>
    </row>
    <row r="29" spans="1:22" ht="17.25" customHeight="1">
      <c r="A29" s="49">
        <f>'January 1, 2020'!A29*1.0175</f>
        <v>44.7922544457778</v>
      </c>
      <c r="B29" s="52" t="s">
        <v>165</v>
      </c>
      <c r="C29" s="53"/>
      <c r="D29" s="53"/>
      <c r="E29" s="53"/>
      <c r="F29" s="53"/>
      <c r="G29" s="148">
        <f t="shared" si="10"/>
        <v>0.41</v>
      </c>
      <c r="H29" s="149">
        <f t="shared" si="11"/>
        <v>0.56000000000000005</v>
      </c>
      <c r="I29" s="53"/>
      <c r="J29" s="53"/>
      <c r="K29" s="53"/>
      <c r="L29" s="53"/>
      <c r="M29" s="53"/>
      <c r="N29" s="140"/>
      <c r="S29" s="51"/>
    </row>
    <row r="30" spans="1:22" ht="17.25" customHeight="1">
      <c r="A30" s="49">
        <f>'January 1, 2020'!A30*1.0175</f>
        <v>135.37610153248713</v>
      </c>
      <c r="B30" s="52" t="s">
        <v>166</v>
      </c>
      <c r="C30" s="53"/>
      <c r="D30" s="53"/>
      <c r="E30" s="53"/>
      <c r="F30" s="53"/>
      <c r="G30" s="148">
        <f t="shared" si="10"/>
        <v>1.24</v>
      </c>
      <c r="H30" s="149">
        <f t="shared" si="11"/>
        <v>1.6919999999999999</v>
      </c>
      <c r="I30" s="53"/>
      <c r="J30" s="53"/>
      <c r="K30" s="53"/>
      <c r="L30" s="53"/>
      <c r="M30" s="53"/>
      <c r="N30" s="140"/>
      <c r="S30" s="51"/>
    </row>
    <row r="31" spans="1:22" ht="17.25" customHeight="1">
      <c r="A31" s="49">
        <f>'January 1, 2020'!A31*1.0175</f>
        <v>142.98749929283306</v>
      </c>
      <c r="B31" s="52" t="s">
        <v>167</v>
      </c>
      <c r="G31" s="148">
        <f t="shared" si="10"/>
        <v>1.3089999999999999</v>
      </c>
      <c r="H31" s="149">
        <f t="shared" si="11"/>
        <v>1.7869999999999999</v>
      </c>
      <c r="S31" s="51"/>
    </row>
    <row r="32" spans="1:22" ht="17.25" customHeight="1">
      <c r="A32" s="49">
        <f>'January 1, 2020'!A32*1.0175</f>
        <v>150.5852074888617</v>
      </c>
      <c r="B32" s="52" t="s">
        <v>168</v>
      </c>
      <c r="G32" s="148">
        <f t="shared" si="10"/>
        <v>1.379</v>
      </c>
      <c r="H32" s="149">
        <f t="shared" si="11"/>
        <v>1.8819999999999999</v>
      </c>
      <c r="S32" s="51"/>
    </row>
    <row r="33" spans="1:19" ht="17.25" customHeight="1">
      <c r="A33" s="49">
        <f>'January 1, 2020'!A33*1.0175</f>
        <v>196.96545139543122</v>
      </c>
      <c r="B33" s="52" t="s">
        <v>169</v>
      </c>
      <c r="G33" s="148">
        <f t="shared" si="10"/>
        <v>1.804</v>
      </c>
      <c r="H33" s="149">
        <f t="shared" si="11"/>
        <v>2.4620000000000002</v>
      </c>
      <c r="S33" s="51"/>
    </row>
    <row r="34" spans="1:19" ht="17.25" customHeight="1">
      <c r="A34" s="49">
        <f>'January 1, 2020'!A34*1.0175</f>
        <v>204.56315959145985</v>
      </c>
      <c r="B34" s="52" t="s">
        <v>170</v>
      </c>
      <c r="G34" s="148">
        <f t="shared" si="10"/>
        <v>1.873</v>
      </c>
      <c r="H34" s="149">
        <f t="shared" si="11"/>
        <v>2.5569999999999999</v>
      </c>
      <c r="S34" s="51"/>
    </row>
    <row r="35" spans="1:19" ht="17.25" customHeight="1">
      <c r="A35" s="49">
        <f>'January 1, 2020'!A35*1.0175</f>
        <v>212.17455735180582</v>
      </c>
      <c r="B35" s="52" t="s">
        <v>171</v>
      </c>
      <c r="G35" s="148">
        <f t="shared" si="10"/>
        <v>1.9430000000000001</v>
      </c>
      <c r="H35" s="149">
        <f t="shared" si="11"/>
        <v>2.6520000000000001</v>
      </c>
      <c r="S35" s="51"/>
    </row>
    <row r="36" spans="1:19" ht="17.25" customHeight="1">
      <c r="A36" s="49">
        <f>'January 1, 2020'!A36*1.0175</f>
        <v>219.78595511215286</v>
      </c>
      <c r="B36" s="52" t="s">
        <v>172</v>
      </c>
      <c r="G36" s="148">
        <f t="shared" si="10"/>
        <v>2.0129999999999999</v>
      </c>
      <c r="H36" s="149">
        <f t="shared" si="11"/>
        <v>2.7469999999999999</v>
      </c>
      <c r="S36" s="51"/>
    </row>
    <row r="37" spans="1:19" ht="17.25" customHeight="1">
      <c r="A37" s="49">
        <f>'January 1, 2020'!A37*1.0175</f>
        <v>241.3607084760111</v>
      </c>
      <c r="B37" s="52" t="s">
        <v>173</v>
      </c>
      <c r="G37" s="148">
        <f t="shared" si="10"/>
        <v>2.21</v>
      </c>
      <c r="H37" s="149">
        <f t="shared" si="11"/>
        <v>3.0169999999999999</v>
      </c>
      <c r="S37" s="51"/>
    </row>
    <row r="38" spans="1:19" ht="17.25" customHeight="1">
      <c r="A38" s="49">
        <f>'January 1, 2020'!A38*1.0175</f>
        <v>303.23753918961597</v>
      </c>
      <c r="B38" s="52" t="s">
        <v>174</v>
      </c>
      <c r="G38" s="148">
        <f t="shared" si="10"/>
        <v>2.7770000000000001</v>
      </c>
      <c r="H38" s="149">
        <f t="shared" si="11"/>
        <v>3.79</v>
      </c>
      <c r="S38" s="51"/>
    </row>
    <row r="39" spans="1:19" ht="17.25" customHeight="1">
      <c r="A39" s="49">
        <f>'January 1, 2020'!A39*1.0175</f>
        <v>310.84893694996197</v>
      </c>
      <c r="B39" s="52" t="s">
        <v>175</v>
      </c>
      <c r="G39" s="148">
        <f t="shared" si="10"/>
        <v>2.847</v>
      </c>
      <c r="H39" s="149">
        <f t="shared" si="11"/>
        <v>3.8860000000000001</v>
      </c>
      <c r="S39" s="51"/>
    </row>
    <row r="40" spans="1:19" ht="17.25" customHeight="1">
      <c r="A40" s="49">
        <f>'January 1, 2020'!A40*1.0175</f>
        <v>318.46033471030796</v>
      </c>
      <c r="B40" s="52" t="s">
        <v>176</v>
      </c>
      <c r="G40" s="148">
        <f t="shared" si="10"/>
        <v>2.9159999999999999</v>
      </c>
      <c r="H40" s="149">
        <f t="shared" si="11"/>
        <v>3.9809999999999999</v>
      </c>
      <c r="S40" s="51"/>
    </row>
    <row r="41" spans="1:19" ht="17.25" customHeight="1">
      <c r="A41" s="49">
        <f>'January 1, 2020'!A41*1.0175</f>
        <v>326.07173247065498</v>
      </c>
      <c r="B41" s="52" t="s">
        <v>177</v>
      </c>
      <c r="G41" s="148">
        <f t="shared" si="10"/>
        <v>2.9860000000000002</v>
      </c>
      <c r="H41" s="149">
        <f t="shared" si="11"/>
        <v>4.0759999999999996</v>
      </c>
      <c r="S41" s="51"/>
    </row>
    <row r="42" spans="1:19" ht="17.25" customHeight="1">
      <c r="A42" s="49">
        <f>'January 1, 2020'!A42*1.0175</f>
        <v>333.68313023100092</v>
      </c>
      <c r="B42" s="52" t="s">
        <v>178</v>
      </c>
      <c r="G42" s="148">
        <f t="shared" si="10"/>
        <v>3.056</v>
      </c>
      <c r="H42" s="149">
        <f t="shared" si="11"/>
        <v>4.1710000000000003</v>
      </c>
      <c r="S42" s="51"/>
    </row>
    <row r="43" spans="1:19" ht="17.25" customHeight="1">
      <c r="A43" s="49">
        <f>'January 1, 2020'!A43*1.0175</f>
        <v>364.53940820190047</v>
      </c>
      <c r="B43" s="52" t="s">
        <v>179</v>
      </c>
      <c r="G43" s="148">
        <f t="shared" si="10"/>
        <v>3.3380000000000001</v>
      </c>
      <c r="H43" s="149">
        <f t="shared" si="11"/>
        <v>4.5570000000000004</v>
      </c>
      <c r="S43" s="51"/>
    </row>
    <row r="44" spans="1:19">
      <c r="A44" s="50"/>
      <c r="B44" s="52"/>
    </row>
    <row r="45" spans="1:19" ht="27.75" customHeight="1">
      <c r="A45" s="41" t="s">
        <v>136</v>
      </c>
      <c r="B45" s="42" t="s">
        <v>181</v>
      </c>
    </row>
    <row r="46" spans="1:19" ht="27.75" customHeight="1">
      <c r="A46" s="41"/>
      <c r="G46" s="66" t="s">
        <v>275</v>
      </c>
      <c r="H46" s="66" t="s">
        <v>276</v>
      </c>
    </row>
    <row r="47" spans="1:19" ht="17.25" customHeight="1">
      <c r="A47" s="49">
        <f>'January 1, 2020'!A47*1.0175</f>
        <v>16.756026724215186</v>
      </c>
      <c r="B47" s="52" t="s">
        <v>161</v>
      </c>
      <c r="C47" s="52"/>
      <c r="D47" s="52"/>
      <c r="E47" s="52"/>
      <c r="F47" s="52"/>
      <c r="G47" s="148">
        <f>ROUND(A47/109.2,3)</f>
        <v>0.153</v>
      </c>
      <c r="H47" s="148">
        <f>ROUND(A47/80,3)</f>
        <v>0.20899999999999999</v>
      </c>
      <c r="I47" s="52"/>
      <c r="J47" s="52"/>
      <c r="K47" s="52"/>
      <c r="L47" s="52"/>
      <c r="M47" s="52"/>
      <c r="N47" s="140"/>
    </row>
    <row r="48" spans="1:19" ht="17.25" customHeight="1">
      <c r="A48" s="49">
        <f>'January 1, 2020'!A48*1.0175</f>
        <v>23.765083654605785</v>
      </c>
      <c r="B48" s="52" t="s">
        <v>162</v>
      </c>
      <c r="C48" s="52"/>
      <c r="D48" s="52"/>
      <c r="E48" s="52"/>
      <c r="F48" s="52"/>
      <c r="G48" s="148">
        <f t="shared" ref="G48:G66" si="12">ROUND(A48/109.2,3)</f>
        <v>0.218</v>
      </c>
      <c r="H48" s="148">
        <f t="shared" ref="H48:H66" si="13">ROUND(A48/80,3)</f>
        <v>0.29699999999999999</v>
      </c>
      <c r="I48" s="52"/>
      <c r="J48" s="52"/>
      <c r="K48" s="52"/>
      <c r="L48" s="52"/>
      <c r="M48" s="52"/>
      <c r="N48" s="140"/>
      <c r="S48" s="51"/>
    </row>
    <row r="49" spans="1:19" ht="17.25" customHeight="1">
      <c r="A49" s="49">
        <f>'January 1, 2020'!A49*1.0175</f>
        <v>30.774140584996491</v>
      </c>
      <c r="B49" s="52" t="s">
        <v>163</v>
      </c>
      <c r="C49" s="53"/>
      <c r="D49" s="53"/>
      <c r="E49" s="53"/>
      <c r="F49" s="53"/>
      <c r="G49" s="148">
        <f t="shared" si="12"/>
        <v>0.28199999999999997</v>
      </c>
      <c r="H49" s="148">
        <f t="shared" si="13"/>
        <v>0.38500000000000001</v>
      </c>
      <c r="I49" s="53"/>
      <c r="J49" s="53"/>
      <c r="K49" s="53"/>
      <c r="L49" s="53"/>
      <c r="M49" s="53"/>
      <c r="N49" s="140"/>
      <c r="S49" s="51"/>
    </row>
    <row r="50" spans="1:19" ht="17.25" customHeight="1">
      <c r="A50" s="49">
        <f>'January 1, 2020'!A50*1.0175</f>
        <v>37.783197515387194</v>
      </c>
      <c r="B50" s="52" t="s">
        <v>164</v>
      </c>
      <c r="C50" s="53"/>
      <c r="D50" s="53"/>
      <c r="E50" s="53"/>
      <c r="F50" s="53"/>
      <c r="G50" s="148">
        <f t="shared" si="12"/>
        <v>0.34599999999999997</v>
      </c>
      <c r="H50" s="148">
        <f t="shared" si="13"/>
        <v>0.47199999999999998</v>
      </c>
      <c r="I50" s="53"/>
      <c r="J50" s="53"/>
      <c r="K50" s="53"/>
      <c r="L50" s="53"/>
      <c r="M50" s="53"/>
      <c r="N50" s="140"/>
      <c r="S50" s="51"/>
    </row>
    <row r="51" spans="1:19" ht="17.25" customHeight="1">
      <c r="A51" s="49">
        <f>'January 1, 2020'!A51*1.0175</f>
        <v>44.7922544457778</v>
      </c>
      <c r="B51" s="52" t="s">
        <v>165</v>
      </c>
      <c r="C51" s="53"/>
      <c r="D51" s="53"/>
      <c r="E51" s="53"/>
      <c r="F51" s="53"/>
      <c r="G51" s="148">
        <f t="shared" si="12"/>
        <v>0.41</v>
      </c>
      <c r="H51" s="148">
        <f t="shared" si="13"/>
        <v>0.56000000000000005</v>
      </c>
      <c r="I51" s="53"/>
      <c r="J51" s="53"/>
      <c r="K51" s="53"/>
      <c r="L51" s="53"/>
      <c r="M51" s="53"/>
      <c r="N51" s="140"/>
      <c r="S51" s="51"/>
    </row>
    <row r="52" spans="1:19" ht="17.25" customHeight="1">
      <c r="A52" s="49">
        <f>'January 1, 2020'!A52*1.0175</f>
        <v>135.37610153248713</v>
      </c>
      <c r="B52" s="52" t="s">
        <v>166</v>
      </c>
      <c r="C52" s="53"/>
      <c r="D52" s="53"/>
      <c r="E52" s="53"/>
      <c r="F52" s="53"/>
      <c r="G52" s="148">
        <f t="shared" si="12"/>
        <v>1.24</v>
      </c>
      <c r="H52" s="148">
        <f t="shared" si="13"/>
        <v>1.6919999999999999</v>
      </c>
      <c r="I52" s="53"/>
      <c r="J52" s="53"/>
      <c r="K52" s="53"/>
      <c r="L52" s="53"/>
      <c r="M52" s="53"/>
      <c r="N52" s="140"/>
      <c r="S52" s="51"/>
    </row>
    <row r="53" spans="1:19" ht="17.25" customHeight="1">
      <c r="A53" s="49">
        <f>'January 1, 2020'!A53*1.0175</f>
        <v>142.98749929283306</v>
      </c>
      <c r="B53" s="52" t="s">
        <v>167</v>
      </c>
      <c r="G53" s="148">
        <f t="shared" si="12"/>
        <v>1.3089999999999999</v>
      </c>
      <c r="H53" s="148">
        <f t="shared" si="13"/>
        <v>1.7869999999999999</v>
      </c>
      <c r="S53" s="51"/>
    </row>
    <row r="54" spans="1:19" ht="17.25" customHeight="1">
      <c r="A54" s="49">
        <f>'January 1, 2020'!A54*1.0175</f>
        <v>150.5852074888617</v>
      </c>
      <c r="B54" s="52" t="s">
        <v>168</v>
      </c>
      <c r="G54" s="148">
        <f t="shared" si="12"/>
        <v>1.379</v>
      </c>
      <c r="H54" s="148">
        <f t="shared" si="13"/>
        <v>1.8819999999999999</v>
      </c>
      <c r="S54" s="51"/>
    </row>
    <row r="55" spans="1:19" ht="17.25" customHeight="1">
      <c r="A55" s="49">
        <f>'January 1, 2020'!A55*1.0175</f>
        <v>196.96545139543122</v>
      </c>
      <c r="B55" s="52" t="s">
        <v>169</v>
      </c>
      <c r="G55" s="148">
        <f t="shared" si="12"/>
        <v>1.804</v>
      </c>
      <c r="H55" s="148">
        <f t="shared" si="13"/>
        <v>2.4620000000000002</v>
      </c>
      <c r="S55" s="51"/>
    </row>
    <row r="56" spans="1:19" ht="17.25" customHeight="1">
      <c r="A56" s="49">
        <f>'January 1, 2020'!A56*1.0175</f>
        <v>204.56315959145985</v>
      </c>
      <c r="B56" s="52" t="s">
        <v>170</v>
      </c>
      <c r="G56" s="148">
        <f t="shared" si="12"/>
        <v>1.873</v>
      </c>
      <c r="H56" s="148">
        <f t="shared" si="13"/>
        <v>2.5569999999999999</v>
      </c>
      <c r="S56" s="51"/>
    </row>
    <row r="57" spans="1:19" ht="17.25" customHeight="1">
      <c r="A57" s="49">
        <f>'January 1, 2020'!A57*1.0175</f>
        <v>212.17455735180582</v>
      </c>
      <c r="B57" s="52" t="s">
        <v>171</v>
      </c>
      <c r="G57" s="148">
        <f t="shared" si="12"/>
        <v>1.9430000000000001</v>
      </c>
      <c r="H57" s="148">
        <f t="shared" si="13"/>
        <v>2.6520000000000001</v>
      </c>
      <c r="S57" s="51"/>
    </row>
    <row r="58" spans="1:19" ht="17.25" customHeight="1">
      <c r="A58" s="49">
        <f>'January 1, 2020'!A58*1.0175</f>
        <v>219.78595511215286</v>
      </c>
      <c r="B58" s="52" t="s">
        <v>172</v>
      </c>
      <c r="G58" s="148">
        <f t="shared" si="12"/>
        <v>2.0129999999999999</v>
      </c>
      <c r="H58" s="148">
        <f t="shared" si="13"/>
        <v>2.7469999999999999</v>
      </c>
      <c r="S58" s="51"/>
    </row>
    <row r="59" spans="1:19" ht="17.25" customHeight="1">
      <c r="A59" s="49">
        <f>'January 1, 2020'!A59*1.0175</f>
        <v>241.3607084760111</v>
      </c>
      <c r="B59" s="52" t="s">
        <v>173</v>
      </c>
      <c r="G59" s="148">
        <f t="shared" si="12"/>
        <v>2.21</v>
      </c>
      <c r="H59" s="148">
        <f t="shared" si="13"/>
        <v>3.0169999999999999</v>
      </c>
      <c r="S59" s="51"/>
    </row>
    <row r="60" spans="1:19" ht="17.25" customHeight="1">
      <c r="A60" s="49">
        <f>'January 1, 2020'!A60*1.0175</f>
        <v>303.23753918961597</v>
      </c>
      <c r="B60" s="52" t="s">
        <v>174</v>
      </c>
      <c r="G60" s="148">
        <f t="shared" si="12"/>
        <v>2.7770000000000001</v>
      </c>
      <c r="H60" s="148">
        <f t="shared" si="13"/>
        <v>3.79</v>
      </c>
      <c r="S60" s="51"/>
    </row>
    <row r="61" spans="1:19" ht="17.25" customHeight="1">
      <c r="A61" s="49">
        <f>'January 1, 2020'!A61*1.0175</f>
        <v>357.20422357183725</v>
      </c>
      <c r="B61" s="52" t="s">
        <v>175</v>
      </c>
      <c r="G61" s="148">
        <f t="shared" si="12"/>
        <v>3.2709999999999999</v>
      </c>
      <c r="H61" s="148">
        <f t="shared" si="13"/>
        <v>4.4649999999999999</v>
      </c>
      <c r="S61" s="51"/>
    </row>
    <row r="62" spans="1:19" ht="17.25" customHeight="1">
      <c r="A62" s="49">
        <f>'January 1, 2020'!A62*1.0175</f>
        <v>364.81562133218335</v>
      </c>
      <c r="B62" s="52" t="s">
        <v>176</v>
      </c>
      <c r="G62" s="148">
        <f t="shared" si="12"/>
        <v>3.3410000000000002</v>
      </c>
      <c r="H62" s="148">
        <f t="shared" si="13"/>
        <v>4.5599999999999996</v>
      </c>
      <c r="S62" s="51"/>
    </row>
    <row r="63" spans="1:19" ht="17.25" customHeight="1">
      <c r="A63" s="49">
        <f>'January 1, 2020'!A63*1.0175</f>
        <v>372.42701909252952</v>
      </c>
      <c r="B63" s="52" t="s">
        <v>177</v>
      </c>
      <c r="G63" s="148">
        <f t="shared" si="12"/>
        <v>3.411</v>
      </c>
      <c r="H63" s="148">
        <f t="shared" si="13"/>
        <v>4.6550000000000002</v>
      </c>
      <c r="S63" s="51"/>
    </row>
    <row r="64" spans="1:19" ht="17.25" customHeight="1">
      <c r="A64" s="49">
        <f>'January 1, 2020'!A64*1.0175</f>
        <v>380.03841685287574</v>
      </c>
      <c r="B64" s="52" t="s">
        <v>178</v>
      </c>
      <c r="G64" s="148">
        <f t="shared" si="12"/>
        <v>3.48</v>
      </c>
      <c r="H64" s="148">
        <f t="shared" si="13"/>
        <v>4.75</v>
      </c>
      <c r="S64" s="51"/>
    </row>
    <row r="65" spans="1:19" ht="17.25" customHeight="1">
      <c r="A65" s="49">
        <f>'January 1, 2020'!A65*1.0175</f>
        <v>410.89469482377524</v>
      </c>
      <c r="B65" s="52" t="s">
        <v>179</v>
      </c>
      <c r="G65" s="148">
        <f t="shared" si="12"/>
        <v>3.7629999999999999</v>
      </c>
      <c r="H65" s="148">
        <f t="shared" si="13"/>
        <v>5.1360000000000001</v>
      </c>
      <c r="S65" s="51"/>
    </row>
    <row r="66" spans="1:19" ht="17.25" customHeight="1">
      <c r="A66" s="49">
        <f>'January 1, 2020'!A66*1.0175</f>
        <v>470.66220984252521</v>
      </c>
      <c r="B66" s="52" t="s">
        <v>180</v>
      </c>
      <c r="G66" s="148">
        <f t="shared" si="12"/>
        <v>4.3099999999999996</v>
      </c>
      <c r="H66" s="148">
        <f t="shared" si="13"/>
        <v>5.883</v>
      </c>
      <c r="S66" s="51"/>
    </row>
    <row r="67" spans="1:19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54"/>
      <c r="N67" s="44"/>
      <c r="P67" s="41"/>
    </row>
    <row r="68" spans="1:19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54"/>
      <c r="N68" s="44"/>
      <c r="P68" s="41"/>
    </row>
    <row r="69" spans="1:19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54"/>
      <c r="N69" s="44"/>
      <c r="P69" s="41"/>
    </row>
    <row r="70" spans="1:19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44"/>
      <c r="P70" s="41"/>
    </row>
    <row r="71" spans="1:19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41"/>
    </row>
    <row r="72" spans="1:19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41"/>
    </row>
    <row r="73" spans="1:19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41"/>
    </row>
    <row r="74" spans="1:19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41"/>
    </row>
    <row r="75" spans="1:19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41"/>
    </row>
    <row r="76" spans="1:19"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44"/>
      <c r="P76" s="41"/>
    </row>
    <row r="77" spans="1:19">
      <c r="A77" s="41"/>
      <c r="B77" s="52"/>
    </row>
    <row r="78" spans="1:19">
      <c r="A78" s="41"/>
    </row>
    <row r="79" spans="1:19">
      <c r="A79" s="51"/>
    </row>
    <row r="80" spans="1:19">
      <c r="A80" s="51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288"/>
    </row>
    <row r="81" spans="1:15">
      <c r="A81" s="51"/>
      <c r="B81" s="288"/>
      <c r="C81" s="288"/>
      <c r="D81" s="288"/>
      <c r="E81" s="288"/>
      <c r="F81" s="288"/>
      <c r="G81" s="288"/>
      <c r="H81" s="288"/>
      <c r="I81" s="288"/>
      <c r="J81" s="288"/>
      <c r="K81" s="288"/>
      <c r="L81" s="288"/>
      <c r="M81" s="288"/>
      <c r="N81" s="288"/>
      <c r="O81" s="141"/>
    </row>
    <row r="82" spans="1:15">
      <c r="A82" s="51"/>
      <c r="B82" s="52"/>
      <c r="O82" s="141"/>
    </row>
    <row r="83" spans="1:15">
      <c r="A83" s="51"/>
      <c r="B83" s="52"/>
      <c r="O83" s="141"/>
    </row>
    <row r="84" spans="1:15">
      <c r="A84" s="51"/>
      <c r="B84" s="52"/>
      <c r="O84" s="141"/>
    </row>
    <row r="85" spans="1:15">
      <c r="A85" s="51"/>
      <c r="B85" s="52"/>
      <c r="O85" s="141"/>
    </row>
    <row r="86" spans="1:15">
      <c r="A86" s="51"/>
      <c r="B86" s="52"/>
      <c r="O86" s="141"/>
    </row>
    <row r="87" spans="1:15">
      <c r="A87" s="51"/>
      <c r="B87" s="52"/>
      <c r="O87" s="141"/>
    </row>
    <row r="88" spans="1:15">
      <c r="A88" s="51"/>
      <c r="B88" s="52"/>
      <c r="O88" s="141"/>
    </row>
    <row r="89" spans="1:15">
      <c r="A89" s="51"/>
      <c r="B89" s="52"/>
      <c r="O89" s="141"/>
    </row>
    <row r="90" spans="1:15">
      <c r="A90" s="51"/>
      <c r="B90" s="52"/>
      <c r="O90" s="141"/>
    </row>
    <row r="91" spans="1:15">
      <c r="A91" s="51"/>
      <c r="B91" s="52"/>
      <c r="O91" s="141"/>
    </row>
    <row r="92" spans="1:15">
      <c r="A92" s="51"/>
      <c r="B92" s="52"/>
      <c r="O92" s="141"/>
    </row>
    <row r="93" spans="1:15">
      <c r="A93" s="51"/>
      <c r="B93" s="52"/>
      <c r="O93" s="141"/>
    </row>
    <row r="94" spans="1:15">
      <c r="A94" s="51"/>
      <c r="B94" s="52"/>
      <c r="O94" s="141"/>
    </row>
    <row r="95" spans="1:15">
      <c r="B95" s="52"/>
      <c r="O95" s="141"/>
    </row>
    <row r="96" spans="1:15">
      <c r="B96" s="52"/>
      <c r="O96" s="141"/>
    </row>
    <row r="97" spans="2:2">
      <c r="B97" s="52"/>
    </row>
    <row r="98" spans="2:2">
      <c r="B98" s="52"/>
    </row>
  </sheetData>
  <sheetProtection sheet="1" objects="1" scenarios="1"/>
  <mergeCells count="4">
    <mergeCell ref="B80:N80"/>
    <mergeCell ref="B81:N81"/>
    <mergeCell ref="Q2:V2"/>
    <mergeCell ref="G2:L2"/>
  </mergeCells>
  <pageMargins left="0.25" right="0.25" top="0.75" bottom="0.75" header="0.3" footer="0.3"/>
  <pageSetup orientation="landscape" r:id="rId1"/>
  <headerFooter alignWithMargins="0"/>
  <rowBreaks count="2" manualBreakCount="2">
    <brk id="22" max="16383" man="1"/>
    <brk id="51" max="16383" man="1"/>
  </rowBreaks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3"/>
  <dimension ref="A1:Y97"/>
  <sheetViews>
    <sheetView showGridLines="0" workbookViewId="0"/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2.1328125" style="42" bestFit="1" customWidth="1"/>
    <col min="7" max="11" width="6.59765625" style="42" customWidth="1"/>
    <col min="12" max="12" width="6.3984375" style="42" bestFit="1" customWidth="1"/>
    <col min="13" max="15" width="6.3984375" style="42" customWidth="1"/>
    <col min="16" max="16" width="14.3984375" style="46" bestFit="1" customWidth="1"/>
    <col min="17" max="17" width="7.3984375" style="44" bestFit="1" customWidth="1"/>
    <col min="18" max="18" width="26.86328125" style="42" bestFit="1" customWidth="1"/>
    <col min="19" max="24" width="6.59765625" style="42" bestFit="1" customWidth="1"/>
    <col min="25" max="25" width="9.1328125" style="42" hidden="1" customWidth="1"/>
    <col min="26" max="26" width="9.1328125" style="42" customWidth="1"/>
    <col min="27" max="16384" width="9.1328125" style="42"/>
  </cols>
  <sheetData>
    <row r="1" spans="1:24" ht="18">
      <c r="A1" s="168" t="s">
        <v>140</v>
      </c>
      <c r="B1" s="169"/>
      <c r="C1" s="169"/>
      <c r="D1" s="169"/>
      <c r="E1" s="169"/>
      <c r="F1" s="169"/>
      <c r="G1" s="170"/>
      <c r="H1" s="41"/>
    </row>
    <row r="2" spans="1:24" ht="25.9" thickBot="1">
      <c r="A2" s="172" t="s">
        <v>185</v>
      </c>
      <c r="B2" s="44"/>
      <c r="C2" s="44"/>
      <c r="D2" s="41"/>
      <c r="E2" s="41"/>
      <c r="F2" s="300" t="s">
        <v>80</v>
      </c>
      <c r="G2" s="300"/>
      <c r="H2" s="300"/>
      <c r="I2" s="300"/>
      <c r="J2" s="300"/>
      <c r="K2" s="300"/>
      <c r="L2" s="300"/>
      <c r="M2" s="41"/>
      <c r="N2" s="41"/>
      <c r="O2" s="41"/>
      <c r="P2" s="296" t="s">
        <v>278</v>
      </c>
      <c r="Q2" s="297"/>
      <c r="R2" s="297"/>
      <c r="S2" s="297"/>
      <c r="T2" s="297"/>
      <c r="U2" s="297"/>
      <c r="V2" s="297"/>
      <c r="W2" s="297"/>
      <c r="X2" s="298"/>
    </row>
    <row r="3" spans="1:24" ht="30" customHeight="1" thickBot="1">
      <c r="A3" s="175" t="s">
        <v>137</v>
      </c>
      <c r="B3" s="176" t="s">
        <v>114</v>
      </c>
      <c r="C3" s="176" t="s">
        <v>138</v>
      </c>
      <c r="D3" s="177" t="s">
        <v>4</v>
      </c>
      <c r="E3" s="177" t="s">
        <v>5</v>
      </c>
      <c r="F3" s="177" t="s">
        <v>6</v>
      </c>
      <c r="G3" s="176" t="s">
        <v>7</v>
      </c>
      <c r="H3" s="176" t="s">
        <v>8</v>
      </c>
      <c r="I3" s="176" t="s">
        <v>9</v>
      </c>
      <c r="J3" s="176" t="s">
        <v>10</v>
      </c>
      <c r="K3" s="176" t="s">
        <v>11</v>
      </c>
      <c r="L3" s="178" t="s">
        <v>12</v>
      </c>
      <c r="M3" s="45"/>
      <c r="N3" s="45"/>
      <c r="O3" s="45"/>
      <c r="P3" s="62" t="s">
        <v>277</v>
      </c>
      <c r="Q3" s="62" t="s">
        <v>138</v>
      </c>
      <c r="R3" s="60" t="s">
        <v>4</v>
      </c>
      <c r="S3" s="58" t="s">
        <v>7</v>
      </c>
      <c r="T3" s="58" t="s">
        <v>8</v>
      </c>
      <c r="U3" s="58" t="s">
        <v>9</v>
      </c>
      <c r="V3" s="58" t="s">
        <v>10</v>
      </c>
      <c r="W3" s="58" t="s">
        <v>11</v>
      </c>
      <c r="X3" s="58" t="s">
        <v>12</v>
      </c>
    </row>
    <row r="4" spans="1:24" ht="18.75" customHeight="1">
      <c r="A4" s="179" t="s">
        <v>157</v>
      </c>
      <c r="B4" s="173" t="s">
        <v>115</v>
      </c>
      <c r="C4" s="173" t="s">
        <v>156</v>
      </c>
      <c r="D4" s="174" t="s">
        <v>84</v>
      </c>
      <c r="E4" s="171"/>
      <c r="F4" s="173" t="s">
        <v>17</v>
      </c>
      <c r="G4" s="185">
        <f>'July 1, 2020'!G4*1.015</f>
        <v>1758.0680846574978</v>
      </c>
      <c r="H4" s="186"/>
      <c r="I4" s="186"/>
      <c r="J4" s="186"/>
      <c r="K4" s="186"/>
      <c r="L4" s="187"/>
      <c r="M4" s="45"/>
      <c r="N4" s="45"/>
      <c r="O4" s="45"/>
      <c r="P4" s="158" t="s">
        <v>143</v>
      </c>
      <c r="Q4" s="60" t="s">
        <v>156</v>
      </c>
      <c r="R4" s="59" t="s">
        <v>84</v>
      </c>
      <c r="S4" s="143">
        <f>G4/80</f>
        <v>21.975851058218723</v>
      </c>
      <c r="T4" s="143"/>
      <c r="U4" s="143"/>
      <c r="V4" s="143"/>
      <c r="W4" s="143"/>
      <c r="X4" s="143"/>
    </row>
    <row r="5" spans="1:24" ht="18.75" customHeight="1">
      <c r="A5" s="180" t="s">
        <v>15</v>
      </c>
      <c r="B5" s="63" t="s">
        <v>115</v>
      </c>
      <c r="C5" s="63" t="s">
        <v>148</v>
      </c>
      <c r="D5" s="59" t="s">
        <v>16</v>
      </c>
      <c r="E5" s="59">
        <v>353</v>
      </c>
      <c r="F5" s="63" t="s">
        <v>17</v>
      </c>
      <c r="G5" s="188">
        <f>'July 1, 2020'!G5*1.015</f>
        <v>2511.5258352249971</v>
      </c>
      <c r="H5" s="188">
        <f>'July 1, 2020'!H5*1.015</f>
        <v>2611.986868633996</v>
      </c>
      <c r="I5" s="188">
        <f>'July 1, 2020'!I5*1.015</f>
        <v>2716.4663433793562</v>
      </c>
      <c r="J5" s="188">
        <f>'July 1, 2020'!J5*1.015</f>
        <v>2825.1249971145307</v>
      </c>
      <c r="K5" s="188">
        <f>'July 1, 2020'!K5*1.015</f>
        <v>2938.1299969991123</v>
      </c>
      <c r="L5" s="189">
        <f>'July 1, 2020'!L5*1.015</f>
        <v>3055.6551968790773</v>
      </c>
      <c r="M5" s="47"/>
      <c r="N5" s="47"/>
      <c r="O5" s="47"/>
      <c r="P5" s="63" t="s">
        <v>144</v>
      </c>
      <c r="Q5" s="63" t="s">
        <v>148</v>
      </c>
      <c r="R5" s="59" t="s">
        <v>16</v>
      </c>
      <c r="S5" s="143">
        <f>G5/109.2</f>
        <v>22.999320835393746</v>
      </c>
      <c r="T5" s="143">
        <f t="shared" ref="T5:X5" si="0">H5/109.2</f>
        <v>23.919293668809487</v>
      </c>
      <c r="U5" s="143">
        <f t="shared" si="0"/>
        <v>24.876065415561868</v>
      </c>
      <c r="V5" s="143">
        <f t="shared" si="0"/>
        <v>25.871108032184345</v>
      </c>
      <c r="W5" s="143">
        <f t="shared" si="0"/>
        <v>26.905952353471726</v>
      </c>
      <c r="X5" s="143">
        <f t="shared" si="0"/>
        <v>27.982190447610598</v>
      </c>
    </row>
    <row r="6" spans="1:24" ht="18.75" customHeight="1">
      <c r="A6" s="180" t="s">
        <v>19</v>
      </c>
      <c r="B6" s="63" t="s">
        <v>115</v>
      </c>
      <c r="C6" s="63" t="s">
        <v>149</v>
      </c>
      <c r="D6" s="59" t="s">
        <v>20</v>
      </c>
      <c r="E6" s="59">
        <v>353</v>
      </c>
      <c r="F6" s="63" t="s">
        <v>17</v>
      </c>
      <c r="G6" s="188">
        <f>'July 1, 2020'!G6*1.015</f>
        <v>2511.5258352249971</v>
      </c>
      <c r="H6" s="188">
        <f>'July 1, 2020'!H6*1.015</f>
        <v>2611.986868633996</v>
      </c>
      <c r="I6" s="188">
        <f>'July 1, 2020'!I6*1.015</f>
        <v>2716.4663433793562</v>
      </c>
      <c r="J6" s="188">
        <f>'July 1, 2020'!J6*1.015</f>
        <v>2825.1249971145307</v>
      </c>
      <c r="K6" s="188">
        <f>'July 1, 2020'!K6*1.015</f>
        <v>2938.1299969991123</v>
      </c>
      <c r="L6" s="189">
        <f>'July 1, 2020'!L6*1.015</f>
        <v>3055.6551968790773</v>
      </c>
      <c r="M6" s="47"/>
      <c r="N6" s="47"/>
      <c r="O6" s="47"/>
      <c r="P6" s="63" t="s">
        <v>143</v>
      </c>
      <c r="Q6" s="63" t="s">
        <v>149</v>
      </c>
      <c r="R6" s="59" t="s">
        <v>20</v>
      </c>
      <c r="S6" s="143">
        <f t="shared" ref="S6:X6" si="1">G6/80</f>
        <v>31.394072940312462</v>
      </c>
      <c r="T6" s="143">
        <f t="shared" si="1"/>
        <v>32.649835857924948</v>
      </c>
      <c r="U6" s="143">
        <f t="shared" si="1"/>
        <v>33.955829292241951</v>
      </c>
      <c r="V6" s="143">
        <f t="shared" si="1"/>
        <v>35.314062463931634</v>
      </c>
      <c r="W6" s="143">
        <f t="shared" si="1"/>
        <v>36.726624962488906</v>
      </c>
      <c r="X6" s="143">
        <f t="shared" si="1"/>
        <v>38.195689960988467</v>
      </c>
    </row>
    <row r="7" spans="1:24" ht="18.75" customHeight="1">
      <c r="A7" s="180" t="s">
        <v>21</v>
      </c>
      <c r="B7" s="63" t="s">
        <v>115</v>
      </c>
      <c r="C7" s="63" t="s">
        <v>148</v>
      </c>
      <c r="D7" s="59" t="s">
        <v>22</v>
      </c>
      <c r="E7" s="59"/>
      <c r="F7" s="63" t="s">
        <v>17</v>
      </c>
      <c r="G7" s="188">
        <f>'July 1, 2020'!G7*1.015</f>
        <v>2511.5258352249971</v>
      </c>
      <c r="H7" s="188">
        <f>'July 1, 2020'!H7*1.015</f>
        <v>2611.986868633996</v>
      </c>
      <c r="I7" s="188">
        <f>'July 1, 2020'!I7*1.015</f>
        <v>2716.4663433793562</v>
      </c>
      <c r="J7" s="188">
        <f>'July 1, 2020'!J7*1.015</f>
        <v>2825.1249971145307</v>
      </c>
      <c r="K7" s="188">
        <f>'July 1, 2020'!K7*1.015</f>
        <v>2938.1299969991123</v>
      </c>
      <c r="L7" s="189">
        <f>'July 1, 2020'!L7*1.015</f>
        <v>3055.6551968790773</v>
      </c>
      <c r="M7" s="47"/>
      <c r="N7" s="47"/>
      <c r="O7" s="47"/>
      <c r="P7" s="63" t="s">
        <v>144</v>
      </c>
      <c r="Q7" s="63" t="s">
        <v>148</v>
      </c>
      <c r="R7" s="59" t="s">
        <v>22</v>
      </c>
      <c r="S7" s="143">
        <f t="shared" ref="S7:X8" si="2">G7/109.2</f>
        <v>22.999320835393746</v>
      </c>
      <c r="T7" s="143">
        <f t="shared" si="2"/>
        <v>23.919293668809487</v>
      </c>
      <c r="U7" s="143">
        <f t="shared" si="2"/>
        <v>24.876065415561868</v>
      </c>
      <c r="V7" s="143">
        <f t="shared" si="2"/>
        <v>25.871108032184345</v>
      </c>
      <c r="W7" s="143">
        <f t="shared" si="2"/>
        <v>26.905952353471726</v>
      </c>
      <c r="X7" s="143">
        <f t="shared" si="2"/>
        <v>27.982190447610598</v>
      </c>
    </row>
    <row r="8" spans="1:24" ht="18.75" customHeight="1">
      <c r="A8" s="180" t="s">
        <v>23</v>
      </c>
      <c r="B8" s="63" t="s">
        <v>115</v>
      </c>
      <c r="C8" s="63" t="s">
        <v>150</v>
      </c>
      <c r="D8" s="59" t="s">
        <v>24</v>
      </c>
      <c r="E8" s="59"/>
      <c r="F8" s="63" t="s">
        <v>17</v>
      </c>
      <c r="G8" s="188">
        <f>'July 1, 2020'!G8*1.015</f>
        <v>3113.3638604711291</v>
      </c>
      <c r="H8" s="188">
        <f>'July 1, 2020'!H8*1.015</f>
        <v>3235.6205110403193</v>
      </c>
      <c r="I8" s="188">
        <f>'July 1, 2020'!I8*1.015</f>
        <v>3432.2071977692931</v>
      </c>
      <c r="J8" s="188"/>
      <c r="K8" s="188"/>
      <c r="L8" s="189"/>
      <c r="M8" s="47"/>
      <c r="N8" s="47"/>
      <c r="O8" s="47"/>
      <c r="P8" s="63" t="s">
        <v>144</v>
      </c>
      <c r="Q8" s="63" t="s">
        <v>150</v>
      </c>
      <c r="R8" s="59" t="s">
        <v>24</v>
      </c>
      <c r="S8" s="143">
        <f t="shared" si="2"/>
        <v>28.510658062922428</v>
      </c>
      <c r="T8" s="143">
        <f t="shared" si="2"/>
        <v>29.630224460076185</v>
      </c>
      <c r="U8" s="143">
        <f t="shared" si="2"/>
        <v>31.430468844041144</v>
      </c>
      <c r="V8" s="143">
        <f t="shared" si="2"/>
        <v>0</v>
      </c>
      <c r="W8" s="143">
        <f t="shared" si="2"/>
        <v>0</v>
      </c>
      <c r="X8" s="143"/>
    </row>
    <row r="9" spans="1:24" ht="18.75" customHeight="1">
      <c r="A9" s="180" t="s">
        <v>195</v>
      </c>
      <c r="B9" s="63" t="s">
        <v>115</v>
      </c>
      <c r="C9" s="63" t="s">
        <v>151</v>
      </c>
      <c r="D9" s="59" t="s">
        <v>26</v>
      </c>
      <c r="E9" s="59"/>
      <c r="F9" s="63" t="s">
        <v>17</v>
      </c>
      <c r="G9" s="188">
        <f>'July 1, 2020'!G9*1.015</f>
        <v>3113.3638604711291</v>
      </c>
      <c r="H9" s="188">
        <f>'July 1, 2020'!H9*1.015</f>
        <v>3235.6205110403193</v>
      </c>
      <c r="I9" s="188">
        <f>'July 1, 2020'!I9*1.015</f>
        <v>3432.2071977692931</v>
      </c>
      <c r="J9" s="188"/>
      <c r="K9" s="188"/>
      <c r="L9" s="189"/>
      <c r="M9" s="47"/>
      <c r="N9" s="47"/>
      <c r="O9" s="47"/>
      <c r="P9" s="63" t="s">
        <v>143</v>
      </c>
      <c r="Q9" s="63" t="s">
        <v>151</v>
      </c>
      <c r="R9" s="59" t="s">
        <v>26</v>
      </c>
      <c r="S9" s="143">
        <f t="shared" ref="S9:U9" si="3">G9/80</f>
        <v>38.917048255889114</v>
      </c>
      <c r="T9" s="143">
        <f t="shared" si="3"/>
        <v>40.44525638800399</v>
      </c>
      <c r="U9" s="143">
        <f t="shared" si="3"/>
        <v>42.902589972116161</v>
      </c>
      <c r="V9" s="143"/>
      <c r="W9" s="143"/>
      <c r="X9" s="143"/>
    </row>
    <row r="10" spans="1:24" ht="18.75" customHeight="1">
      <c r="A10" s="180" t="s">
        <v>27</v>
      </c>
      <c r="B10" s="63" t="s">
        <v>115</v>
      </c>
      <c r="C10" s="63" t="s">
        <v>150</v>
      </c>
      <c r="D10" s="59" t="s">
        <v>28</v>
      </c>
      <c r="E10" s="59"/>
      <c r="F10" s="63" t="s">
        <v>17</v>
      </c>
      <c r="G10" s="188">
        <f>'July 1, 2020'!G10*1.015</f>
        <v>3113.3638604711291</v>
      </c>
      <c r="H10" s="188">
        <f>'July 1, 2020'!H10*1.015</f>
        <v>3235.6205110403193</v>
      </c>
      <c r="I10" s="188">
        <f>'July 1, 2020'!I10*1.015</f>
        <v>3432.2071977692931</v>
      </c>
      <c r="J10" s="188"/>
      <c r="K10" s="188"/>
      <c r="L10" s="189"/>
      <c r="M10" s="47"/>
      <c r="N10" s="47"/>
      <c r="O10" s="47"/>
      <c r="P10" s="63" t="s">
        <v>144</v>
      </c>
      <c r="Q10" s="63" t="s">
        <v>150</v>
      </c>
      <c r="R10" s="59" t="s">
        <v>28</v>
      </c>
      <c r="S10" s="143">
        <f t="shared" ref="S10:U11" si="4">G10/109.2</f>
        <v>28.510658062922428</v>
      </c>
      <c r="T10" s="143">
        <f t="shared" si="4"/>
        <v>29.630224460076185</v>
      </c>
      <c r="U10" s="143">
        <f t="shared" si="4"/>
        <v>31.430468844041144</v>
      </c>
      <c r="V10" s="143"/>
      <c r="W10" s="143"/>
      <c r="X10" s="143"/>
    </row>
    <row r="11" spans="1:24" ht="18.75" customHeight="1">
      <c r="A11" s="180" t="s">
        <v>29</v>
      </c>
      <c r="B11" s="63" t="s">
        <v>115</v>
      </c>
      <c r="C11" s="63" t="s">
        <v>152</v>
      </c>
      <c r="D11" s="59" t="s">
        <v>30</v>
      </c>
      <c r="E11" s="59"/>
      <c r="F11" s="63" t="s">
        <v>17</v>
      </c>
      <c r="G11" s="188">
        <f>'July 1, 2020'!G11*1.015</f>
        <v>3529.0364724063729</v>
      </c>
      <c r="H11" s="188">
        <f>'July 1, 2020'!H11*1.015</f>
        <v>3668.9524169466672</v>
      </c>
      <c r="I11" s="188">
        <f>'July 1, 2020'!I11*1.015</f>
        <v>3893.5181361292621</v>
      </c>
      <c r="J11" s="188"/>
      <c r="K11" s="188"/>
      <c r="L11" s="189"/>
      <c r="M11" s="47"/>
      <c r="N11" s="47"/>
      <c r="O11" s="47"/>
      <c r="P11" s="63" t="s">
        <v>144</v>
      </c>
      <c r="Q11" s="63" t="s">
        <v>152</v>
      </c>
      <c r="R11" s="59" t="s">
        <v>30</v>
      </c>
      <c r="S11" s="143">
        <f t="shared" si="4"/>
        <v>32.317183813245173</v>
      </c>
      <c r="T11" s="143">
        <f t="shared" si="4"/>
        <v>33.598465356654458</v>
      </c>
      <c r="U11" s="143">
        <f t="shared" si="4"/>
        <v>35.654927986531703</v>
      </c>
      <c r="V11" s="143"/>
      <c r="W11" s="143"/>
      <c r="X11" s="143"/>
    </row>
    <row r="12" spans="1:24" ht="18.75" customHeight="1">
      <c r="A12" s="180" t="s">
        <v>31</v>
      </c>
      <c r="B12" s="63" t="s">
        <v>115</v>
      </c>
      <c r="C12" s="63" t="s">
        <v>153</v>
      </c>
      <c r="D12" s="59" t="s">
        <v>32</v>
      </c>
      <c r="E12" s="59"/>
      <c r="F12" s="63" t="s">
        <v>17</v>
      </c>
      <c r="G12" s="188">
        <f>'July 1, 2020'!G12*1.015</f>
        <v>3529.0364724063729</v>
      </c>
      <c r="H12" s="188">
        <f>'July 1, 2020'!H12*1.015</f>
        <v>3668.9524169466672</v>
      </c>
      <c r="I12" s="188">
        <f>'July 1, 2020'!I12*1.015</f>
        <v>3893.5181361292621</v>
      </c>
      <c r="J12" s="188"/>
      <c r="K12" s="188"/>
      <c r="L12" s="189"/>
      <c r="M12" s="47"/>
      <c r="N12" s="47"/>
      <c r="O12" s="47"/>
      <c r="P12" s="63" t="s">
        <v>143</v>
      </c>
      <c r="Q12" s="63" t="s">
        <v>153</v>
      </c>
      <c r="R12" s="59" t="s">
        <v>32</v>
      </c>
      <c r="S12" s="143">
        <f t="shared" ref="S12:U12" si="5">G12/80</f>
        <v>44.112955905079659</v>
      </c>
      <c r="T12" s="143">
        <f t="shared" si="5"/>
        <v>45.861905211833339</v>
      </c>
      <c r="U12" s="143">
        <f t="shared" si="5"/>
        <v>48.668976701615776</v>
      </c>
      <c r="V12" s="143"/>
      <c r="W12" s="143"/>
      <c r="X12" s="143"/>
    </row>
    <row r="13" spans="1:24" ht="18.75" customHeight="1">
      <c r="A13" s="180" t="s">
        <v>33</v>
      </c>
      <c r="B13" s="63" t="s">
        <v>115</v>
      </c>
      <c r="C13" s="63" t="s">
        <v>152</v>
      </c>
      <c r="D13" s="59" t="s">
        <v>34</v>
      </c>
      <c r="E13" s="59"/>
      <c r="F13" s="63" t="s">
        <v>17</v>
      </c>
      <c r="G13" s="188">
        <f>'July 1, 2020'!G13*1.015</f>
        <v>3529.0364724063729</v>
      </c>
      <c r="H13" s="188">
        <f>'July 1, 2020'!H13*1.015</f>
        <v>3668.9524169466672</v>
      </c>
      <c r="I13" s="188">
        <f>'July 1, 2020'!I13*1.015</f>
        <v>3893.5181361292621</v>
      </c>
      <c r="J13" s="188"/>
      <c r="K13" s="188"/>
      <c r="L13" s="189"/>
      <c r="M13" s="47"/>
      <c r="N13" s="47"/>
      <c r="O13" s="47"/>
      <c r="P13" s="63" t="s">
        <v>144</v>
      </c>
      <c r="Q13" s="63" t="s">
        <v>152</v>
      </c>
      <c r="R13" s="59" t="s">
        <v>34</v>
      </c>
      <c r="S13" s="143">
        <f t="shared" ref="S13:U13" si="6">G13/109.2</f>
        <v>32.317183813245173</v>
      </c>
      <c r="T13" s="143">
        <f t="shared" si="6"/>
        <v>33.598465356654458</v>
      </c>
      <c r="U13" s="143">
        <f t="shared" si="6"/>
        <v>35.654927986531703</v>
      </c>
      <c r="V13" s="143"/>
      <c r="W13" s="143"/>
      <c r="X13" s="143"/>
    </row>
    <row r="14" spans="1:24" ht="18.75" customHeight="1">
      <c r="A14" s="180" t="s">
        <v>35</v>
      </c>
      <c r="B14" s="63" t="s">
        <v>115</v>
      </c>
      <c r="C14" s="63" t="s">
        <v>153</v>
      </c>
      <c r="D14" s="59" t="s">
        <v>36</v>
      </c>
      <c r="E14" s="59"/>
      <c r="F14" s="63" t="s">
        <v>17</v>
      </c>
      <c r="G14" s="188">
        <f>'July 1, 2020'!G14*1.015</f>
        <v>3529.0364724063729</v>
      </c>
      <c r="H14" s="188">
        <f>'July 1, 2020'!H14*1.015</f>
        <v>3668.9524169466672</v>
      </c>
      <c r="I14" s="188">
        <f>'July 1, 2020'!I14*1.015</f>
        <v>3893.5181361292621</v>
      </c>
      <c r="J14" s="188"/>
      <c r="K14" s="188"/>
      <c r="L14" s="189"/>
      <c r="M14" s="47"/>
      <c r="N14" s="47"/>
      <c r="O14" s="47"/>
      <c r="P14" s="63" t="s">
        <v>143</v>
      </c>
      <c r="Q14" s="63" t="s">
        <v>153</v>
      </c>
      <c r="R14" s="59" t="s">
        <v>36</v>
      </c>
      <c r="S14" s="143">
        <f>G14/80</f>
        <v>44.112955905079659</v>
      </c>
      <c r="T14" s="143">
        <f t="shared" ref="T14:U14" si="7">H14/80</f>
        <v>45.861905211833339</v>
      </c>
      <c r="U14" s="143">
        <f t="shared" si="7"/>
        <v>48.668976701615776</v>
      </c>
      <c r="V14" s="143"/>
      <c r="W14" s="143"/>
      <c r="X14" s="143"/>
    </row>
    <row r="15" spans="1:24" ht="18.75" customHeight="1">
      <c r="A15" s="180" t="s">
        <v>37</v>
      </c>
      <c r="B15" s="63" t="s">
        <v>115</v>
      </c>
      <c r="C15" s="63" t="s">
        <v>152</v>
      </c>
      <c r="D15" s="59" t="s">
        <v>38</v>
      </c>
      <c r="E15" s="59"/>
      <c r="F15" s="63" t="s">
        <v>17</v>
      </c>
      <c r="G15" s="188">
        <f>'July 1, 2020'!G15*1.015</f>
        <v>3529.0364724063729</v>
      </c>
      <c r="H15" s="188">
        <f>'July 1, 2020'!H15*1.015</f>
        <v>3668.9524169466672</v>
      </c>
      <c r="I15" s="188">
        <f>'July 1, 2020'!I15*1.015</f>
        <v>3893.5181361292621</v>
      </c>
      <c r="J15" s="188"/>
      <c r="K15" s="188"/>
      <c r="L15" s="189"/>
      <c r="M15" s="47"/>
      <c r="N15" s="47"/>
      <c r="O15" s="47"/>
      <c r="P15" s="63" t="s">
        <v>144</v>
      </c>
      <c r="Q15" s="63" t="s">
        <v>152</v>
      </c>
      <c r="R15" s="59" t="s">
        <v>38</v>
      </c>
      <c r="S15" s="143">
        <f>G15/109.2</f>
        <v>32.317183813245173</v>
      </c>
      <c r="T15" s="143">
        <f t="shared" ref="T15:U15" si="8">H15/109.2</f>
        <v>33.598465356654458</v>
      </c>
      <c r="U15" s="143">
        <f t="shared" si="8"/>
        <v>35.654927986531703</v>
      </c>
      <c r="V15" s="143"/>
      <c r="W15" s="143"/>
      <c r="X15" s="143"/>
    </row>
    <row r="16" spans="1:24" ht="18.75" customHeight="1">
      <c r="A16" s="180" t="s">
        <v>41</v>
      </c>
      <c r="B16" s="63" t="s">
        <v>115</v>
      </c>
      <c r="C16" s="63" t="s">
        <v>154</v>
      </c>
      <c r="D16" s="65" t="s">
        <v>113</v>
      </c>
      <c r="E16" s="59"/>
      <c r="F16" s="63" t="s">
        <v>17</v>
      </c>
      <c r="G16" s="188">
        <f>'July 1, 2020'!G16*1.015</f>
        <v>3611.8993133477115</v>
      </c>
      <c r="H16" s="188">
        <f>'July 1, 2020'!H16*1.015</f>
        <v>3673.0276386323071</v>
      </c>
      <c r="I16" s="188">
        <f>'July 1, 2020'!I16*1.015</f>
        <v>3735.514371145448</v>
      </c>
      <c r="J16" s="188">
        <f>'July 1, 2020'!J16*1.015</f>
        <v>3798.0011036585902</v>
      </c>
      <c r="K16" s="188">
        <f>'July 1, 2020'!K16*1.015</f>
        <v>4029.6882323921445</v>
      </c>
      <c r="L16" s="189"/>
      <c r="M16" s="47"/>
      <c r="N16" s="47"/>
      <c r="O16" s="47"/>
      <c r="P16" s="63" t="s">
        <v>144</v>
      </c>
      <c r="Q16" s="63" t="s">
        <v>154</v>
      </c>
      <c r="R16" s="65" t="s">
        <v>113</v>
      </c>
      <c r="S16" s="143">
        <f>G16/109.2</f>
        <v>33.076001037982707</v>
      </c>
      <c r="T16" s="143">
        <f t="shared" ref="T16:W16" si="9">H16/109.2</f>
        <v>33.635784236559587</v>
      </c>
      <c r="U16" s="143">
        <f t="shared" si="9"/>
        <v>34.208007061771504</v>
      </c>
      <c r="V16" s="143">
        <f t="shared" si="9"/>
        <v>34.780229886983427</v>
      </c>
      <c r="W16" s="143">
        <f t="shared" si="9"/>
        <v>36.901906890037949</v>
      </c>
      <c r="X16" s="143"/>
    </row>
    <row r="17" spans="1:24" ht="18.75" customHeight="1" thickBot="1">
      <c r="A17" s="181" t="s">
        <v>39</v>
      </c>
      <c r="B17" s="182" t="s">
        <v>115</v>
      </c>
      <c r="C17" s="182" t="s">
        <v>155</v>
      </c>
      <c r="D17" s="183" t="s">
        <v>42</v>
      </c>
      <c r="E17" s="184"/>
      <c r="F17" s="182" t="s">
        <v>17</v>
      </c>
      <c r="G17" s="190">
        <f>'July 1, 2020'!G17*1.015</f>
        <v>3611.8993133477115</v>
      </c>
      <c r="H17" s="190">
        <f>'July 1, 2020'!H17*1.015</f>
        <v>3673.0276386323071</v>
      </c>
      <c r="I17" s="190">
        <f>'July 1, 2020'!I17*1.015</f>
        <v>3735.514371145448</v>
      </c>
      <c r="J17" s="190">
        <f>'July 1, 2020'!J17*1.015</f>
        <v>3798.0011036585902</v>
      </c>
      <c r="K17" s="190">
        <f>'July 1, 2020'!K17*1.015</f>
        <v>4029.6882323921445</v>
      </c>
      <c r="L17" s="191"/>
      <c r="M17" s="47"/>
      <c r="N17" s="47"/>
      <c r="O17" s="47"/>
      <c r="P17" s="63" t="s">
        <v>143</v>
      </c>
      <c r="Q17" s="63" t="s">
        <v>155</v>
      </c>
      <c r="R17" s="59" t="s">
        <v>42</v>
      </c>
      <c r="S17" s="143">
        <f>G17/80</f>
        <v>45.148741416846391</v>
      </c>
      <c r="T17" s="143">
        <f t="shared" ref="T17:W17" si="10">H17/80</f>
        <v>45.91284548290384</v>
      </c>
      <c r="U17" s="143">
        <f t="shared" si="10"/>
        <v>46.6939296393181</v>
      </c>
      <c r="V17" s="143">
        <f t="shared" si="10"/>
        <v>47.47501379573238</v>
      </c>
      <c r="W17" s="143">
        <f t="shared" si="10"/>
        <v>50.371102904901804</v>
      </c>
      <c r="X17" s="143"/>
    </row>
    <row r="18" spans="1:24" ht="18.75" customHeight="1">
      <c r="A18" s="194" t="s">
        <v>280</v>
      </c>
      <c r="B18" s="63" t="s">
        <v>115</v>
      </c>
      <c r="C18" s="63" t="s">
        <v>235</v>
      </c>
      <c r="D18" s="59" t="s">
        <v>281</v>
      </c>
      <c r="E18" s="58"/>
      <c r="F18" s="63" t="s">
        <v>17</v>
      </c>
      <c r="G18" s="64">
        <v>2511.5258352249971</v>
      </c>
      <c r="H18" s="64">
        <v>2611.986868633996</v>
      </c>
      <c r="I18" s="64">
        <v>2716.4663433793562</v>
      </c>
      <c r="J18" s="64">
        <v>2825.1249971145307</v>
      </c>
      <c r="K18" s="64">
        <v>2938.1299969991123</v>
      </c>
      <c r="L18" s="64">
        <v>3055.6551968790773</v>
      </c>
      <c r="M18" s="47"/>
      <c r="N18" s="47"/>
      <c r="O18" s="47"/>
      <c r="P18" s="63" t="s">
        <v>282</v>
      </c>
      <c r="Q18" s="63" t="s">
        <v>235</v>
      </c>
      <c r="R18" s="59" t="s">
        <v>281</v>
      </c>
      <c r="S18" s="143">
        <f>G18/80</f>
        <v>31.394072940312462</v>
      </c>
      <c r="T18" s="143">
        <f t="shared" ref="T18" si="11">H18/80</f>
        <v>32.649835857924948</v>
      </c>
      <c r="U18" s="143">
        <f t="shared" ref="U18" si="12">I18/80</f>
        <v>33.955829292241951</v>
      </c>
      <c r="V18" s="143">
        <f t="shared" ref="V18" si="13">J18/80</f>
        <v>35.314062463931634</v>
      </c>
      <c r="W18" s="143">
        <f t="shared" ref="W18:X18" si="14">K18/80</f>
        <v>36.726624962488906</v>
      </c>
      <c r="X18" s="143">
        <f t="shared" si="14"/>
        <v>38.195689960988467</v>
      </c>
    </row>
    <row r="19" spans="1:24" ht="27.75" customHeight="1">
      <c r="A19" s="41" t="s">
        <v>107</v>
      </c>
      <c r="C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24" ht="17.25" customHeight="1">
      <c r="A20" s="50" t="s">
        <v>50</v>
      </c>
      <c r="C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24" ht="17.25" customHeight="1">
      <c r="A21" s="42" t="s">
        <v>51</v>
      </c>
      <c r="C21" s="46"/>
      <c r="G21" s="46"/>
      <c r="H21" s="46"/>
      <c r="I21" s="46"/>
      <c r="J21" s="46"/>
      <c r="K21" s="46"/>
      <c r="L21" s="46"/>
      <c r="M21" s="46"/>
      <c r="N21" s="46"/>
      <c r="O21" s="46"/>
    </row>
    <row r="22" spans="1:24" ht="17.25" customHeight="1">
      <c r="A22" s="50" t="s">
        <v>52</v>
      </c>
      <c r="B22" s="46"/>
      <c r="C22" s="46"/>
    </row>
    <row r="23" spans="1:24" ht="17.25" customHeight="1">
      <c r="A23" s="50"/>
      <c r="B23" s="46"/>
      <c r="C23" s="46"/>
      <c r="P23" s="299" t="s">
        <v>278</v>
      </c>
      <c r="Q23" s="299"/>
    </row>
    <row r="24" spans="1:24" ht="27.75" customHeight="1">
      <c r="A24" s="41" t="s">
        <v>136</v>
      </c>
      <c r="B24" s="42" t="s">
        <v>160</v>
      </c>
      <c r="P24" s="60" t="s">
        <v>230</v>
      </c>
      <c r="Q24" s="60" t="s">
        <v>231</v>
      </c>
    </row>
    <row r="25" spans="1:24" ht="17.25" customHeight="1">
      <c r="A25" s="49">
        <f>'July 1, 2020'!A25*1.015</f>
        <v>17.007367125078414</v>
      </c>
      <c r="B25" s="52" t="s">
        <v>161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160">
        <f>ROUND(A25/109.2,3)</f>
        <v>0.156</v>
      </c>
      <c r="Q25" s="159">
        <f>ROUND(A25/80,3)</f>
        <v>0.21299999999999999</v>
      </c>
    </row>
    <row r="26" spans="1:24" ht="17.25" customHeight="1">
      <c r="A26" s="49">
        <f>'July 1, 2020'!A26*1.015</f>
        <v>24.121559909424871</v>
      </c>
      <c r="B26" s="52" t="s">
        <v>162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160">
        <f t="shared" ref="P26:P43" si="15">ROUND(A26/109.2,3)</f>
        <v>0.221</v>
      </c>
      <c r="Q26" s="159">
        <f t="shared" ref="Q26:Q43" si="16">ROUND(A26/80,3)</f>
        <v>0.30199999999999999</v>
      </c>
      <c r="U26" s="51"/>
    </row>
    <row r="27" spans="1:24" ht="17.25" customHeight="1">
      <c r="A27" s="49">
        <f>'July 1, 2020'!A27*1.015</f>
        <v>31.235752693771435</v>
      </c>
      <c r="B27" s="52" t="s">
        <v>163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160">
        <f t="shared" si="15"/>
        <v>0.28599999999999998</v>
      </c>
      <c r="Q27" s="159">
        <f t="shared" si="16"/>
        <v>0.39</v>
      </c>
      <c r="U27" s="51"/>
    </row>
    <row r="28" spans="1:24" ht="17.25" customHeight="1">
      <c r="A28" s="49">
        <f>'July 1, 2020'!A28*1.015</f>
        <v>38.349945478117995</v>
      </c>
      <c r="B28" s="52" t="s">
        <v>164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160">
        <f t="shared" si="15"/>
        <v>0.35099999999999998</v>
      </c>
      <c r="Q28" s="159">
        <f t="shared" si="16"/>
        <v>0.47899999999999998</v>
      </c>
      <c r="U28" s="51"/>
    </row>
    <row r="29" spans="1:24" ht="17.25" customHeight="1">
      <c r="A29" s="49">
        <f>'July 1, 2020'!A29*1.015</f>
        <v>45.464138262464466</v>
      </c>
      <c r="B29" s="52" t="s">
        <v>165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160">
        <f t="shared" si="15"/>
        <v>0.41599999999999998</v>
      </c>
      <c r="Q29" s="159">
        <f t="shared" si="16"/>
        <v>0.56799999999999995</v>
      </c>
      <c r="U29" s="51"/>
    </row>
    <row r="30" spans="1:24" ht="17.25" customHeight="1">
      <c r="A30" s="49">
        <f>'July 1, 2020'!A30*1.015</f>
        <v>137.40674305547441</v>
      </c>
      <c r="B30" s="52" t="s">
        <v>166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160">
        <f t="shared" si="15"/>
        <v>1.258</v>
      </c>
      <c r="Q30" s="159">
        <f t="shared" si="16"/>
        <v>1.718</v>
      </c>
      <c r="U30" s="51"/>
    </row>
    <row r="31" spans="1:24" ht="17.25" customHeight="1">
      <c r="A31" s="49">
        <f>'July 1, 2020'!A31*1.015</f>
        <v>145.13231178222554</v>
      </c>
      <c r="B31" s="52" t="s">
        <v>167</v>
      </c>
      <c r="P31" s="160">
        <f t="shared" si="15"/>
        <v>1.329</v>
      </c>
      <c r="Q31" s="159">
        <f t="shared" si="16"/>
        <v>1.8140000000000001</v>
      </c>
      <c r="U31" s="51"/>
    </row>
    <row r="32" spans="1:24" ht="17.25" customHeight="1">
      <c r="A32" s="49">
        <f>'July 1, 2020'!A32*1.015</f>
        <v>152.84398560119462</v>
      </c>
      <c r="B32" s="52" t="s">
        <v>168</v>
      </c>
      <c r="P32" s="160">
        <f t="shared" si="15"/>
        <v>1.4</v>
      </c>
      <c r="Q32" s="159">
        <f t="shared" si="16"/>
        <v>1.911</v>
      </c>
      <c r="U32" s="51"/>
    </row>
    <row r="33" spans="1:21" ht="17.25" customHeight="1">
      <c r="A33" s="49">
        <f>'July 1, 2020'!A33*1.015</f>
        <v>199.91993316636265</v>
      </c>
      <c r="B33" s="52" t="s">
        <v>169</v>
      </c>
      <c r="P33" s="160">
        <f t="shared" si="15"/>
        <v>1.831</v>
      </c>
      <c r="Q33" s="159">
        <f t="shared" si="16"/>
        <v>2.4990000000000001</v>
      </c>
      <c r="U33" s="51"/>
    </row>
    <row r="34" spans="1:21" ht="17.25" customHeight="1">
      <c r="A34" s="49">
        <f>'July 1, 2020'!A34*1.015</f>
        <v>207.63160698533173</v>
      </c>
      <c r="B34" s="52" t="s">
        <v>170</v>
      </c>
      <c r="P34" s="160">
        <f t="shared" si="15"/>
        <v>1.901</v>
      </c>
      <c r="Q34" s="159">
        <f t="shared" si="16"/>
        <v>2.5950000000000002</v>
      </c>
      <c r="U34" s="51"/>
    </row>
    <row r="35" spans="1:21" ht="17.25" customHeight="1">
      <c r="A35" s="49">
        <f>'July 1, 2020'!A35*1.015</f>
        <v>215.35717571208289</v>
      </c>
      <c r="B35" s="52" t="s">
        <v>171</v>
      </c>
      <c r="P35" s="160">
        <f t="shared" si="15"/>
        <v>1.972</v>
      </c>
      <c r="Q35" s="159">
        <f t="shared" si="16"/>
        <v>2.6920000000000002</v>
      </c>
      <c r="U35" s="51"/>
    </row>
    <row r="36" spans="1:21" ht="17.25" customHeight="1">
      <c r="A36" s="49">
        <f>'July 1, 2020'!A36*1.015</f>
        <v>223.08274443883514</v>
      </c>
      <c r="B36" s="52" t="s">
        <v>172</v>
      </c>
      <c r="P36" s="160">
        <f t="shared" si="15"/>
        <v>2.0430000000000001</v>
      </c>
      <c r="Q36" s="159">
        <f t="shared" si="16"/>
        <v>2.7890000000000001</v>
      </c>
      <c r="U36" s="51"/>
    </row>
    <row r="37" spans="1:21" ht="17.25" customHeight="1">
      <c r="A37" s="49">
        <f>'July 1, 2020'!A37*1.015</f>
        <v>244.98111910315123</v>
      </c>
      <c r="B37" s="52" t="s">
        <v>173</v>
      </c>
      <c r="P37" s="160">
        <f t="shared" si="15"/>
        <v>2.2429999999999999</v>
      </c>
      <c r="Q37" s="159">
        <f t="shared" si="16"/>
        <v>3.0619999999999998</v>
      </c>
      <c r="U37" s="51"/>
    </row>
    <row r="38" spans="1:21" ht="17.25" customHeight="1">
      <c r="A38" s="49">
        <f>'July 1, 2020'!A38*1.015</f>
        <v>307.7861022774602</v>
      </c>
      <c r="B38" s="52" t="s">
        <v>174</v>
      </c>
      <c r="P38" s="160">
        <f t="shared" si="15"/>
        <v>2.819</v>
      </c>
      <c r="Q38" s="159">
        <f t="shared" si="16"/>
        <v>3.847</v>
      </c>
      <c r="U38" s="51"/>
    </row>
    <row r="39" spans="1:21" ht="17.25" customHeight="1">
      <c r="A39" s="49">
        <f>'July 1, 2020'!A39*1.015</f>
        <v>315.51167100421139</v>
      </c>
      <c r="B39" s="52" t="s">
        <v>175</v>
      </c>
      <c r="P39" s="160">
        <f t="shared" si="15"/>
        <v>2.8889999999999998</v>
      </c>
      <c r="Q39" s="159">
        <f t="shared" si="16"/>
        <v>3.944</v>
      </c>
      <c r="U39" s="51"/>
    </row>
    <row r="40" spans="1:21" ht="17.25" customHeight="1">
      <c r="A40" s="49">
        <f>'July 1, 2020'!A40*1.015</f>
        <v>323.23723973096253</v>
      </c>
      <c r="B40" s="52" t="s">
        <v>176</v>
      </c>
      <c r="P40" s="160">
        <f t="shared" si="15"/>
        <v>2.96</v>
      </c>
      <c r="Q40" s="159">
        <f t="shared" si="16"/>
        <v>4.04</v>
      </c>
      <c r="U40" s="51"/>
    </row>
    <row r="41" spans="1:21" ht="17.25" customHeight="1">
      <c r="A41" s="49">
        <f>'July 1, 2020'!A41*1.015</f>
        <v>330.96280845771474</v>
      </c>
      <c r="B41" s="52" t="s">
        <v>177</v>
      </c>
      <c r="P41" s="160">
        <f t="shared" si="15"/>
        <v>3.0310000000000001</v>
      </c>
      <c r="Q41" s="159">
        <f t="shared" si="16"/>
        <v>4.1369999999999996</v>
      </c>
      <c r="U41" s="51"/>
    </row>
    <row r="42" spans="1:21" ht="17.25" customHeight="1">
      <c r="A42" s="49">
        <f>'July 1, 2020'!A42*1.015</f>
        <v>338.68837718446588</v>
      </c>
      <c r="B42" s="52" t="s">
        <v>178</v>
      </c>
      <c r="P42" s="160">
        <f t="shared" si="15"/>
        <v>3.1019999999999999</v>
      </c>
      <c r="Q42" s="159">
        <f t="shared" si="16"/>
        <v>4.234</v>
      </c>
      <c r="U42" s="51"/>
    </row>
    <row r="43" spans="1:21" ht="17.25" customHeight="1">
      <c r="A43" s="49">
        <f>'July 1, 2020'!A43*1.015</f>
        <v>370.00749932492892</v>
      </c>
      <c r="B43" s="52" t="s">
        <v>179</v>
      </c>
      <c r="P43" s="160">
        <f t="shared" si="15"/>
        <v>3.3879999999999999</v>
      </c>
      <c r="Q43" s="159">
        <f t="shared" si="16"/>
        <v>4.625</v>
      </c>
      <c r="U43" s="51"/>
    </row>
    <row r="44" spans="1:21">
      <c r="A44" s="50"/>
      <c r="B44" s="52"/>
    </row>
    <row r="45" spans="1:21" ht="27.75" customHeight="1">
      <c r="A45" s="41" t="s">
        <v>136</v>
      </c>
      <c r="B45" s="42" t="s">
        <v>181</v>
      </c>
      <c r="P45" s="60" t="s">
        <v>232</v>
      </c>
      <c r="Q45" s="60" t="s">
        <v>233</v>
      </c>
    </row>
    <row r="46" spans="1:21" ht="17.25" customHeight="1">
      <c r="A46" s="49">
        <f>'July 1, 2020'!A47*1.015</f>
        <v>17.007367125078414</v>
      </c>
      <c r="B46" s="52" t="s">
        <v>161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160">
        <f>ROUND(A46/109.2,3)</f>
        <v>0.156</v>
      </c>
      <c r="Q46" s="159">
        <f>ROUND(A46/80,3)</f>
        <v>0.21299999999999999</v>
      </c>
    </row>
    <row r="47" spans="1:21" ht="17.25" customHeight="1">
      <c r="A47" s="49">
        <f>'July 1, 2020'!A48*1.015</f>
        <v>24.121559909424871</v>
      </c>
      <c r="B47" s="52" t="s">
        <v>162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160">
        <f t="shared" ref="P47:P65" si="17">ROUND(A47/109.2,3)</f>
        <v>0.221</v>
      </c>
      <c r="Q47" s="159">
        <f t="shared" ref="Q47:Q65" si="18">ROUND(A47/80,3)</f>
        <v>0.30199999999999999</v>
      </c>
      <c r="U47" s="51"/>
    </row>
    <row r="48" spans="1:21" ht="17.25" customHeight="1">
      <c r="A48" s="49">
        <f>'July 1, 2020'!A49*1.015</f>
        <v>31.235752693771435</v>
      </c>
      <c r="B48" s="52" t="s">
        <v>163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60">
        <f t="shared" si="17"/>
        <v>0.28599999999999998</v>
      </c>
      <c r="Q48" s="159">
        <f t="shared" si="18"/>
        <v>0.39</v>
      </c>
      <c r="U48" s="51"/>
    </row>
    <row r="49" spans="1:21" ht="17.25" customHeight="1">
      <c r="A49" s="49">
        <f>'July 1, 2020'!A50*1.015</f>
        <v>38.349945478117995</v>
      </c>
      <c r="B49" s="52" t="s">
        <v>164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60">
        <f t="shared" si="17"/>
        <v>0.35099999999999998</v>
      </c>
      <c r="Q49" s="159">
        <f t="shared" si="18"/>
        <v>0.47899999999999998</v>
      </c>
      <c r="U49" s="51"/>
    </row>
    <row r="50" spans="1:21" ht="17.25" customHeight="1">
      <c r="A50" s="49">
        <f>'July 1, 2020'!A51*1.015</f>
        <v>45.464138262464466</v>
      </c>
      <c r="B50" s="52" t="s">
        <v>165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160">
        <f t="shared" si="17"/>
        <v>0.41599999999999998</v>
      </c>
      <c r="Q50" s="159">
        <f t="shared" si="18"/>
        <v>0.56799999999999995</v>
      </c>
      <c r="U50" s="51"/>
    </row>
    <row r="51" spans="1:21" ht="17.25" customHeight="1">
      <c r="A51" s="49">
        <f>'July 1, 2020'!A52*1.015</f>
        <v>137.40674305547441</v>
      </c>
      <c r="B51" s="52" t="s">
        <v>166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60">
        <f t="shared" si="17"/>
        <v>1.258</v>
      </c>
      <c r="Q51" s="159">
        <f t="shared" si="18"/>
        <v>1.718</v>
      </c>
      <c r="U51" s="51"/>
    </row>
    <row r="52" spans="1:21" ht="17.25" customHeight="1">
      <c r="A52" s="49">
        <f>'July 1, 2020'!A53*1.015</f>
        <v>145.13231178222554</v>
      </c>
      <c r="B52" s="52" t="s">
        <v>167</v>
      </c>
      <c r="P52" s="160">
        <f t="shared" si="17"/>
        <v>1.329</v>
      </c>
      <c r="Q52" s="159">
        <f t="shared" si="18"/>
        <v>1.8140000000000001</v>
      </c>
      <c r="U52" s="51"/>
    </row>
    <row r="53" spans="1:21" ht="17.25" customHeight="1">
      <c r="A53" s="49">
        <f>'July 1, 2020'!A54*1.015</f>
        <v>152.84398560119462</v>
      </c>
      <c r="B53" s="52" t="s">
        <v>168</v>
      </c>
      <c r="P53" s="160">
        <f t="shared" si="17"/>
        <v>1.4</v>
      </c>
      <c r="Q53" s="159">
        <f t="shared" si="18"/>
        <v>1.911</v>
      </c>
      <c r="U53" s="51"/>
    </row>
    <row r="54" spans="1:21" ht="17.25" customHeight="1">
      <c r="A54" s="49">
        <f>'July 1, 2020'!A55*1.015</f>
        <v>199.91993316636265</v>
      </c>
      <c r="B54" s="52" t="s">
        <v>169</v>
      </c>
      <c r="P54" s="160">
        <f t="shared" si="17"/>
        <v>1.831</v>
      </c>
      <c r="Q54" s="159">
        <f t="shared" si="18"/>
        <v>2.4990000000000001</v>
      </c>
      <c r="U54" s="51"/>
    </row>
    <row r="55" spans="1:21" ht="17.25" customHeight="1">
      <c r="A55" s="49">
        <f>'July 1, 2020'!A56*1.015</f>
        <v>207.63160698533173</v>
      </c>
      <c r="B55" s="52" t="s">
        <v>170</v>
      </c>
      <c r="P55" s="160">
        <f t="shared" si="17"/>
        <v>1.901</v>
      </c>
      <c r="Q55" s="159">
        <f t="shared" si="18"/>
        <v>2.5950000000000002</v>
      </c>
      <c r="U55" s="51"/>
    </row>
    <row r="56" spans="1:21" ht="17.25" customHeight="1">
      <c r="A56" s="49">
        <f>'July 1, 2020'!A57*1.015</f>
        <v>215.35717571208289</v>
      </c>
      <c r="B56" s="52" t="s">
        <v>171</v>
      </c>
      <c r="P56" s="160">
        <f t="shared" si="17"/>
        <v>1.972</v>
      </c>
      <c r="Q56" s="159">
        <f t="shared" si="18"/>
        <v>2.6920000000000002</v>
      </c>
      <c r="U56" s="51"/>
    </row>
    <row r="57" spans="1:21" ht="17.25" customHeight="1">
      <c r="A57" s="49">
        <f>'July 1, 2020'!A58*1.015</f>
        <v>223.08274443883514</v>
      </c>
      <c r="B57" s="52" t="s">
        <v>172</v>
      </c>
      <c r="P57" s="160">
        <f t="shared" si="17"/>
        <v>2.0430000000000001</v>
      </c>
      <c r="Q57" s="159">
        <f t="shared" si="18"/>
        <v>2.7890000000000001</v>
      </c>
      <c r="U57" s="51"/>
    </row>
    <row r="58" spans="1:21" ht="17.25" customHeight="1">
      <c r="A58" s="49">
        <f>'July 1, 2020'!A59*1.015</f>
        <v>244.98111910315123</v>
      </c>
      <c r="B58" s="52" t="s">
        <v>173</v>
      </c>
      <c r="P58" s="160">
        <f t="shared" si="17"/>
        <v>2.2429999999999999</v>
      </c>
      <c r="Q58" s="159">
        <f t="shared" si="18"/>
        <v>3.0619999999999998</v>
      </c>
      <c r="U58" s="51"/>
    </row>
    <row r="59" spans="1:21" ht="17.25" customHeight="1">
      <c r="A59" s="49">
        <f>'July 1, 2020'!A60*1.015</f>
        <v>307.7861022774602</v>
      </c>
      <c r="B59" s="52" t="s">
        <v>174</v>
      </c>
      <c r="P59" s="160">
        <f t="shared" si="17"/>
        <v>2.819</v>
      </c>
      <c r="Q59" s="159">
        <f t="shared" si="18"/>
        <v>3.847</v>
      </c>
      <c r="U59" s="51"/>
    </row>
    <row r="60" spans="1:21" ht="17.25" customHeight="1">
      <c r="A60" s="49">
        <f>'July 1, 2020'!A61*1.015</f>
        <v>362.56228692541475</v>
      </c>
      <c r="B60" s="52" t="s">
        <v>175</v>
      </c>
      <c r="P60" s="160">
        <f t="shared" si="17"/>
        <v>3.32</v>
      </c>
      <c r="Q60" s="159">
        <f t="shared" si="18"/>
        <v>4.532</v>
      </c>
      <c r="U60" s="51"/>
    </row>
    <row r="61" spans="1:21" ht="17.25" customHeight="1">
      <c r="A61" s="49">
        <f>'July 1, 2020'!A62*1.015</f>
        <v>370.28785565216606</v>
      </c>
      <c r="B61" s="52" t="s">
        <v>176</v>
      </c>
      <c r="P61" s="160">
        <f t="shared" si="17"/>
        <v>3.391</v>
      </c>
      <c r="Q61" s="159">
        <f t="shared" si="18"/>
        <v>4.6289999999999996</v>
      </c>
      <c r="U61" s="51"/>
    </row>
    <row r="62" spans="1:21" ht="17.25" customHeight="1">
      <c r="A62" s="49">
        <f>'July 1, 2020'!A63*1.015</f>
        <v>378.01342437891742</v>
      </c>
      <c r="B62" s="52" t="s">
        <v>177</v>
      </c>
      <c r="P62" s="160">
        <f t="shared" si="17"/>
        <v>3.4620000000000002</v>
      </c>
      <c r="Q62" s="159">
        <f t="shared" si="18"/>
        <v>4.7249999999999996</v>
      </c>
      <c r="U62" s="51"/>
    </row>
    <row r="63" spans="1:21" ht="17.25" customHeight="1">
      <c r="A63" s="49">
        <f>'July 1, 2020'!A64*1.015</f>
        <v>385.73899310566884</v>
      </c>
      <c r="B63" s="52" t="s">
        <v>178</v>
      </c>
      <c r="P63" s="160">
        <f t="shared" si="17"/>
        <v>3.532</v>
      </c>
      <c r="Q63" s="159">
        <f t="shared" si="18"/>
        <v>4.8220000000000001</v>
      </c>
      <c r="U63" s="51"/>
    </row>
    <row r="64" spans="1:21" ht="17.25" customHeight="1">
      <c r="A64" s="49">
        <f>'July 1, 2020'!A65*1.015</f>
        <v>417.05811524613182</v>
      </c>
      <c r="B64" s="52" t="s">
        <v>179</v>
      </c>
      <c r="P64" s="160">
        <f t="shared" si="17"/>
        <v>3.819</v>
      </c>
      <c r="Q64" s="159">
        <f t="shared" si="18"/>
        <v>5.2130000000000001</v>
      </c>
      <c r="U64" s="51"/>
    </row>
    <row r="65" spans="1:21" ht="17.25" customHeight="1">
      <c r="A65" s="49">
        <f>'July 1, 2020'!A66*1.015</f>
        <v>477.72214299016304</v>
      </c>
      <c r="B65" s="52" t="s">
        <v>180</v>
      </c>
      <c r="P65" s="160">
        <f t="shared" si="17"/>
        <v>4.375</v>
      </c>
      <c r="Q65" s="159">
        <f t="shared" si="18"/>
        <v>5.9720000000000004</v>
      </c>
      <c r="U65" s="51"/>
    </row>
    <row r="66" spans="1:21">
      <c r="A66" s="41"/>
      <c r="B66" s="41"/>
      <c r="C66" s="41"/>
      <c r="D66" s="41"/>
      <c r="E66" s="41"/>
      <c r="F66" s="41"/>
      <c r="G66" s="41"/>
      <c r="H66" s="41"/>
      <c r="I66" s="41"/>
      <c r="J66" s="54"/>
      <c r="K66" s="54"/>
      <c r="L66" s="54"/>
      <c r="M66" s="54"/>
      <c r="N66" s="54"/>
      <c r="O66" s="54"/>
      <c r="P66" s="44"/>
      <c r="R66" s="41"/>
    </row>
    <row r="67" spans="1:21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54"/>
      <c r="N67" s="54"/>
      <c r="O67" s="54"/>
      <c r="P67" s="44"/>
      <c r="R67" s="41"/>
    </row>
    <row r="68" spans="1:21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54"/>
      <c r="N68" s="54"/>
      <c r="O68" s="54"/>
      <c r="P68" s="44"/>
      <c r="R68" s="41"/>
    </row>
    <row r="69" spans="1:21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54"/>
      <c r="N69" s="54"/>
      <c r="O69" s="54"/>
      <c r="P69" s="44"/>
      <c r="R69" s="41"/>
    </row>
    <row r="70" spans="1:2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54"/>
      <c r="O70" s="54"/>
      <c r="P70" s="44"/>
      <c r="R70" s="41"/>
    </row>
    <row r="71" spans="1:2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54"/>
      <c r="O71" s="54"/>
      <c r="P71" s="44"/>
      <c r="R71" s="41"/>
    </row>
    <row r="72" spans="1:2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54"/>
      <c r="O72" s="54"/>
      <c r="P72" s="44"/>
      <c r="R72" s="41"/>
    </row>
    <row r="73" spans="1:2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54"/>
      <c r="O73" s="54"/>
      <c r="P73" s="44"/>
      <c r="R73" s="41"/>
    </row>
    <row r="74" spans="1:2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54"/>
      <c r="O74" s="54"/>
      <c r="P74" s="44"/>
      <c r="R74" s="41"/>
    </row>
    <row r="75" spans="1:21"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54"/>
      <c r="O75" s="54"/>
      <c r="P75" s="44"/>
      <c r="R75" s="41"/>
    </row>
    <row r="76" spans="1:21">
      <c r="A76" s="41"/>
      <c r="B76" s="52"/>
    </row>
    <row r="77" spans="1:21">
      <c r="A77" s="41"/>
    </row>
    <row r="78" spans="1:21">
      <c r="A78" s="51"/>
    </row>
    <row r="79" spans="1:21">
      <c r="A79" s="51"/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8"/>
      <c r="O79" s="288"/>
      <c r="P79" s="288"/>
    </row>
    <row r="80" spans="1:21">
      <c r="A80" s="51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288"/>
      <c r="O80" s="288"/>
      <c r="P80" s="288"/>
      <c r="Q80" s="141"/>
    </row>
    <row r="81" spans="1:17">
      <c r="A81" s="51"/>
      <c r="B81" s="52"/>
      <c r="Q81" s="141"/>
    </row>
    <row r="82" spans="1:17">
      <c r="A82" s="51"/>
      <c r="B82" s="52"/>
      <c r="Q82" s="141"/>
    </row>
    <row r="83" spans="1:17">
      <c r="A83" s="51"/>
      <c r="B83" s="52"/>
      <c r="Q83" s="141"/>
    </row>
    <row r="84" spans="1:17">
      <c r="A84" s="51"/>
      <c r="B84" s="52"/>
      <c r="Q84" s="141"/>
    </row>
    <row r="85" spans="1:17">
      <c r="A85" s="51"/>
      <c r="B85" s="52"/>
      <c r="Q85" s="141"/>
    </row>
    <row r="86" spans="1:17">
      <c r="A86" s="51"/>
      <c r="B86" s="52"/>
      <c r="Q86" s="141"/>
    </row>
    <row r="87" spans="1:17">
      <c r="A87" s="51"/>
      <c r="B87" s="52"/>
      <c r="Q87" s="141"/>
    </row>
    <row r="88" spans="1:17">
      <c r="A88" s="51"/>
      <c r="B88" s="52"/>
      <c r="Q88" s="141"/>
    </row>
    <row r="89" spans="1:17">
      <c r="A89" s="51"/>
      <c r="B89" s="52"/>
      <c r="Q89" s="141"/>
    </row>
    <row r="90" spans="1:17">
      <c r="A90" s="51"/>
      <c r="B90" s="52"/>
      <c r="Q90" s="141"/>
    </row>
    <row r="91" spans="1:17">
      <c r="A91" s="51"/>
      <c r="B91" s="52"/>
      <c r="Q91" s="141"/>
    </row>
    <row r="92" spans="1:17">
      <c r="A92" s="51"/>
      <c r="B92" s="52"/>
      <c r="Q92" s="141"/>
    </row>
    <row r="93" spans="1:17">
      <c r="A93" s="51"/>
      <c r="B93" s="52"/>
      <c r="Q93" s="141"/>
    </row>
    <row r="94" spans="1:17">
      <c r="B94" s="52"/>
      <c r="Q94" s="141"/>
    </row>
    <row r="95" spans="1:17">
      <c r="B95" s="52"/>
      <c r="Q95" s="141"/>
    </row>
    <row r="96" spans="1:17">
      <c r="B96" s="52"/>
    </row>
    <row r="97" spans="2:2">
      <c r="B97" s="52"/>
    </row>
  </sheetData>
  <mergeCells count="5">
    <mergeCell ref="B79:P79"/>
    <mergeCell ref="B80:P80"/>
    <mergeCell ref="P2:X2"/>
    <mergeCell ref="P23:Q23"/>
    <mergeCell ref="F2:L2"/>
  </mergeCells>
  <pageMargins left="0.25" right="0.25" top="0.75" bottom="0.75" header="0.3" footer="0.3"/>
  <pageSetup orientation="landscape" r:id="rId1"/>
  <headerFooter alignWithMargins="0"/>
  <rowBreaks count="2" manualBreakCount="2">
    <brk id="23" max="16383" man="1"/>
    <brk id="50" max="16383" man="1"/>
  </rowBreaks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4">
    <tabColor theme="1"/>
  </sheetPr>
  <dimension ref="A1:Z97"/>
  <sheetViews>
    <sheetView showGridLines="0" workbookViewId="0">
      <selection activeCell="G22" sqref="G22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31.3984375" style="42" customWidth="1"/>
    <col min="5" max="5" width="17.3984375" style="42" hidden="1" customWidth="1"/>
    <col min="6" max="6" width="2.1328125" style="42" bestFit="1" customWidth="1"/>
    <col min="7" max="11" width="6.59765625" style="42" customWidth="1"/>
    <col min="12" max="12" width="6.59765625" style="42" bestFit="1" customWidth="1"/>
    <col min="13" max="13" width="6.3984375" style="42" customWidth="1"/>
    <col min="14" max="14" width="14.3984375" style="46" bestFit="1" customWidth="1"/>
    <col min="15" max="15" width="6.3984375" style="44" hidden="1" customWidth="1"/>
    <col min="16" max="16" width="15.73046875" style="42" hidden="1" customWidth="1"/>
    <col min="17" max="18" width="7.3984375" style="42" hidden="1" customWidth="1"/>
    <col min="19" max="19" width="26.86328125" style="42" hidden="1" customWidth="1"/>
    <col min="20" max="23" width="9.59765625" style="42" hidden="1" customWidth="1"/>
    <col min="24" max="25" width="9.1328125" style="42" hidden="1" customWidth="1"/>
    <col min="26" max="26" width="0" style="42" hidden="1" customWidth="1"/>
    <col min="27" max="16384" width="9.1328125" style="42"/>
  </cols>
  <sheetData>
    <row r="1" spans="1:25" ht="18">
      <c r="A1" s="168" t="s">
        <v>140</v>
      </c>
      <c r="B1" s="169"/>
      <c r="C1" s="169"/>
      <c r="D1" s="169"/>
      <c r="E1" s="170"/>
      <c r="F1" s="41"/>
      <c r="G1" s="192"/>
      <c r="H1" s="41"/>
      <c r="P1" s="46">
        <v>1.0175000000000001</v>
      </c>
    </row>
    <row r="2" spans="1:25" ht="25.9" thickBot="1">
      <c r="A2" s="172" t="s">
        <v>186</v>
      </c>
      <c r="B2" s="44"/>
      <c r="C2" s="44"/>
      <c r="D2" s="41"/>
      <c r="E2" s="41"/>
      <c r="F2" s="300" t="s">
        <v>80</v>
      </c>
      <c r="G2" s="300"/>
      <c r="H2" s="300"/>
      <c r="I2" s="300"/>
      <c r="J2" s="300"/>
      <c r="K2" s="300"/>
      <c r="L2" s="300"/>
      <c r="M2" s="41"/>
      <c r="N2" s="44"/>
    </row>
    <row r="3" spans="1:25" ht="30" customHeight="1" thickBot="1">
      <c r="A3" s="175" t="s">
        <v>137</v>
      </c>
      <c r="B3" s="176" t="s">
        <v>114</v>
      </c>
      <c r="C3" s="176" t="s">
        <v>138</v>
      </c>
      <c r="D3" s="177" t="s">
        <v>4</v>
      </c>
      <c r="E3" s="177" t="s">
        <v>5</v>
      </c>
      <c r="F3" s="177" t="s">
        <v>6</v>
      </c>
      <c r="G3" s="176" t="s">
        <v>7</v>
      </c>
      <c r="H3" s="176" t="s">
        <v>8</v>
      </c>
      <c r="I3" s="176" t="s">
        <v>9</v>
      </c>
      <c r="J3" s="176" t="s">
        <v>10</v>
      </c>
      <c r="K3" s="176" t="s">
        <v>11</v>
      </c>
      <c r="L3" s="178" t="s">
        <v>12</v>
      </c>
      <c r="M3" s="45"/>
      <c r="N3" s="42"/>
      <c r="O3" s="164" t="s">
        <v>285</v>
      </c>
      <c r="P3" s="164" t="s">
        <v>277</v>
      </c>
      <c r="Q3" s="164" t="s">
        <v>138</v>
      </c>
      <c r="R3" s="164" t="s">
        <v>137</v>
      </c>
      <c r="S3" s="161" t="s">
        <v>279</v>
      </c>
      <c r="T3" s="161" t="s">
        <v>7</v>
      </c>
      <c r="U3" s="161" t="s">
        <v>8</v>
      </c>
      <c r="V3" s="161" t="s">
        <v>9</v>
      </c>
      <c r="W3" s="161" t="s">
        <v>10</v>
      </c>
      <c r="X3" s="161" t="s">
        <v>11</v>
      </c>
      <c r="Y3" s="161" t="s">
        <v>12</v>
      </c>
    </row>
    <row r="4" spans="1:25" ht="18.75" customHeight="1">
      <c r="A4" s="179" t="s">
        <v>157</v>
      </c>
      <c r="B4" s="173" t="s">
        <v>115</v>
      </c>
      <c r="C4" s="173" t="str">
        <f>Q4</f>
        <v>CFG 5</v>
      </c>
      <c r="D4" s="174" t="s">
        <v>84</v>
      </c>
      <c r="E4" s="171"/>
      <c r="F4" s="173" t="s">
        <v>17</v>
      </c>
      <c r="G4" s="185">
        <f t="shared" ref="G4:G18" si="0">VLOOKUP($A4,Jan2021Rates,7,0)*PercIncrJuly2021</f>
        <v>1788.8342761390043</v>
      </c>
      <c r="H4" s="186"/>
      <c r="I4" s="186"/>
      <c r="J4" s="186"/>
      <c r="K4" s="186"/>
      <c r="L4" s="187"/>
      <c r="M4" s="45"/>
      <c r="N4" s="42"/>
      <c r="O4" s="165">
        <v>80</v>
      </c>
      <c r="P4" s="193" t="s">
        <v>143</v>
      </c>
      <c r="Q4" s="166" t="s">
        <v>156</v>
      </c>
      <c r="R4" s="166" t="str">
        <f>A4</f>
        <v>04440C</v>
      </c>
      <c r="S4" s="165" t="s">
        <v>84</v>
      </c>
      <c r="T4" s="163">
        <f t="shared" ref="T4:T18" si="1">ROUNDUP(G4/$O4,3)</f>
        <v>22.361000000000001</v>
      </c>
      <c r="U4" s="163"/>
      <c r="V4" s="163"/>
      <c r="W4" s="163"/>
      <c r="X4" s="163"/>
      <c r="Y4" s="163"/>
    </row>
    <row r="5" spans="1:25" ht="18.75" customHeight="1">
      <c r="A5" s="180" t="s">
        <v>15</v>
      </c>
      <c r="B5" s="63" t="s">
        <v>115</v>
      </c>
      <c r="C5" s="173" t="str">
        <f t="shared" ref="C5:C18" si="2">Q5</f>
        <v>CFH 1</v>
      </c>
      <c r="D5" s="59" t="s">
        <v>16</v>
      </c>
      <c r="E5" s="59">
        <v>353</v>
      </c>
      <c r="F5" s="63" t="s">
        <v>17</v>
      </c>
      <c r="G5" s="185">
        <f t="shared" si="0"/>
        <v>2555.4775373414345</v>
      </c>
      <c r="H5" s="185">
        <f t="shared" ref="H5:H18" si="3">VLOOKUP($A5,Jan2021Rates,8,0)*PercIncrJuly2021</f>
        <v>2657.6966388350911</v>
      </c>
      <c r="I5" s="185">
        <f t="shared" ref="I5:I18" si="4">VLOOKUP($A5,Jan2021Rates,9,0)*PercIncrJuly2021</f>
        <v>2764.0045043884952</v>
      </c>
      <c r="J5" s="185">
        <f>VLOOKUP($A5,Jan2021Rates,10,0)*PercIncrJuly2021</f>
        <v>2874.5646845640354</v>
      </c>
      <c r="K5" s="185">
        <f>VLOOKUP($A5,Jan2021Rates,11,0)*PercIncrJuly2021</f>
        <v>2989.547271946597</v>
      </c>
      <c r="L5" s="201">
        <f>VLOOKUP($A5,Jan2021Rates,12,0)*PercIncrJuly2021</f>
        <v>3109.1291628244612</v>
      </c>
      <c r="M5" s="47"/>
      <c r="N5" s="42"/>
      <c r="O5" s="165">
        <v>109.2</v>
      </c>
      <c r="P5" s="166" t="s">
        <v>144</v>
      </c>
      <c r="Q5" s="166" t="s">
        <v>235</v>
      </c>
      <c r="R5" s="166" t="str">
        <f t="shared" ref="R5:R18" si="5">A5</f>
        <v>04450C</v>
      </c>
      <c r="S5" s="165" t="s">
        <v>16</v>
      </c>
      <c r="T5" s="163">
        <f t="shared" si="1"/>
        <v>23.402000000000001</v>
      </c>
      <c r="U5" s="163">
        <f t="shared" ref="U5:Y7" si="6">ROUNDUP(H5/$O5,3)</f>
        <v>24.338000000000001</v>
      </c>
      <c r="V5" s="163">
        <f t="shared" si="6"/>
        <v>25.312000000000001</v>
      </c>
      <c r="W5" s="163">
        <f t="shared" si="6"/>
        <v>26.324000000000002</v>
      </c>
      <c r="X5" s="163">
        <f t="shared" si="6"/>
        <v>27.377000000000002</v>
      </c>
      <c r="Y5" s="163">
        <f t="shared" si="6"/>
        <v>28.472000000000001</v>
      </c>
    </row>
    <row r="6" spans="1:25" ht="18.75" customHeight="1">
      <c r="A6" s="180" t="s">
        <v>19</v>
      </c>
      <c r="B6" s="63" t="s">
        <v>115</v>
      </c>
      <c r="C6" s="173" t="str">
        <f t="shared" si="2"/>
        <v>CFI 1</v>
      </c>
      <c r="D6" s="59" t="s">
        <v>20</v>
      </c>
      <c r="E6" s="59">
        <v>353</v>
      </c>
      <c r="F6" s="63" t="s">
        <v>17</v>
      </c>
      <c r="G6" s="185">
        <f t="shared" si="0"/>
        <v>2555.4775373414345</v>
      </c>
      <c r="H6" s="185">
        <f t="shared" si="3"/>
        <v>2657.6966388350911</v>
      </c>
      <c r="I6" s="185">
        <f t="shared" si="4"/>
        <v>2764.0045043884952</v>
      </c>
      <c r="J6" s="185">
        <f>VLOOKUP($A6,Jan2021Rates,10,0)*PercIncrJuly2021</f>
        <v>2874.5646845640354</v>
      </c>
      <c r="K6" s="185">
        <f>VLOOKUP($A6,Jan2021Rates,11,0)*PercIncrJuly2021</f>
        <v>2989.547271946597</v>
      </c>
      <c r="L6" s="201">
        <f>VLOOKUP($A6,Jan2021Rates,12,0)*PercIncrJuly2021</f>
        <v>3109.1291628244612</v>
      </c>
      <c r="M6" s="47"/>
      <c r="N6" s="42"/>
      <c r="O6" s="165">
        <v>80</v>
      </c>
      <c r="P6" s="166" t="s">
        <v>143</v>
      </c>
      <c r="Q6" s="166" t="s">
        <v>234</v>
      </c>
      <c r="R6" s="166" t="str">
        <f t="shared" si="5"/>
        <v>04451C</v>
      </c>
      <c r="S6" s="165" t="s">
        <v>20</v>
      </c>
      <c r="T6" s="163">
        <f t="shared" si="1"/>
        <v>31.944000000000003</v>
      </c>
      <c r="U6" s="163">
        <f t="shared" si="6"/>
        <v>33.221999999999994</v>
      </c>
      <c r="V6" s="163">
        <f t="shared" si="6"/>
        <v>34.550999999999995</v>
      </c>
      <c r="W6" s="163">
        <f t="shared" si="6"/>
        <v>35.933</v>
      </c>
      <c r="X6" s="163">
        <f t="shared" si="6"/>
        <v>37.369999999999997</v>
      </c>
      <c r="Y6" s="163">
        <f t="shared" si="6"/>
        <v>38.864999999999995</v>
      </c>
    </row>
    <row r="7" spans="1:25" ht="18.75" customHeight="1">
      <c r="A7" s="180" t="s">
        <v>21</v>
      </c>
      <c r="B7" s="63" t="s">
        <v>115</v>
      </c>
      <c r="C7" s="173" t="str">
        <f t="shared" si="2"/>
        <v>CFF 1</v>
      </c>
      <c r="D7" s="59" t="s">
        <v>22</v>
      </c>
      <c r="E7" s="59"/>
      <c r="F7" s="63" t="s">
        <v>17</v>
      </c>
      <c r="G7" s="185">
        <f t="shared" si="0"/>
        <v>2555.4775373414345</v>
      </c>
      <c r="H7" s="185">
        <f t="shared" si="3"/>
        <v>2657.6966388350911</v>
      </c>
      <c r="I7" s="185">
        <f t="shared" si="4"/>
        <v>2764.0045043884952</v>
      </c>
      <c r="J7" s="185">
        <f>VLOOKUP($A7,Jan2021Rates,10,0)*PercIncrJuly2021</f>
        <v>2874.5646845640354</v>
      </c>
      <c r="K7" s="185">
        <f>VLOOKUP($A7,Jan2021Rates,11,0)*PercIncrJuly2021</f>
        <v>2989.547271946597</v>
      </c>
      <c r="L7" s="201">
        <f>VLOOKUP($A7,Jan2021Rates,12,0)*PercIncrJuly2021</f>
        <v>3109.1291628244612</v>
      </c>
      <c r="M7" s="47"/>
      <c r="N7" s="42"/>
      <c r="O7" s="165">
        <v>109.2</v>
      </c>
      <c r="P7" s="166" t="s">
        <v>144</v>
      </c>
      <c r="Q7" s="166" t="s">
        <v>148</v>
      </c>
      <c r="R7" s="166" t="str">
        <f t="shared" si="5"/>
        <v>04388C</v>
      </c>
      <c r="S7" s="165" t="s">
        <v>22</v>
      </c>
      <c r="T7" s="163">
        <f t="shared" si="1"/>
        <v>23.402000000000001</v>
      </c>
      <c r="U7" s="163">
        <f t="shared" si="6"/>
        <v>24.338000000000001</v>
      </c>
      <c r="V7" s="163">
        <f t="shared" si="6"/>
        <v>25.312000000000001</v>
      </c>
      <c r="W7" s="163">
        <f t="shared" si="6"/>
        <v>26.324000000000002</v>
      </c>
      <c r="X7" s="163">
        <f t="shared" si="6"/>
        <v>27.377000000000002</v>
      </c>
      <c r="Y7" s="163">
        <f t="shared" si="6"/>
        <v>28.472000000000001</v>
      </c>
    </row>
    <row r="8" spans="1:25" ht="18.75" customHeight="1">
      <c r="A8" s="180" t="s">
        <v>23</v>
      </c>
      <c r="B8" s="63" t="s">
        <v>115</v>
      </c>
      <c r="C8" s="173" t="str">
        <f t="shared" si="2"/>
        <v>CFF 2</v>
      </c>
      <c r="D8" s="59" t="s">
        <v>24</v>
      </c>
      <c r="E8" s="59"/>
      <c r="F8" s="63" t="s">
        <v>17</v>
      </c>
      <c r="G8" s="185">
        <f t="shared" si="0"/>
        <v>3167.8477280293741</v>
      </c>
      <c r="H8" s="185">
        <f t="shared" si="3"/>
        <v>3292.2438699835252</v>
      </c>
      <c r="I8" s="185">
        <f t="shared" si="4"/>
        <v>3492.2708237302559</v>
      </c>
      <c r="J8" s="188"/>
      <c r="K8" s="188"/>
      <c r="L8" s="189"/>
      <c r="M8" s="47"/>
      <c r="N8" s="42"/>
      <c r="O8" s="165">
        <v>109.2</v>
      </c>
      <c r="P8" s="166" t="s">
        <v>144</v>
      </c>
      <c r="Q8" s="166" t="s">
        <v>150</v>
      </c>
      <c r="R8" s="166" t="str">
        <f t="shared" si="5"/>
        <v>04420C</v>
      </c>
      <c r="S8" s="165" t="s">
        <v>24</v>
      </c>
      <c r="T8" s="163">
        <f t="shared" si="1"/>
        <v>29.01</v>
      </c>
      <c r="U8" s="163">
        <f t="shared" ref="U8:U18" si="7">ROUNDUP(H8/$O8,3)</f>
        <v>30.149000000000001</v>
      </c>
      <c r="V8" s="163">
        <f t="shared" ref="V8:V18" si="8">ROUNDUP(I8/$O8,3)</f>
        <v>31.981000000000002</v>
      </c>
      <c r="W8" s="163"/>
      <c r="X8" s="163"/>
      <c r="Y8" s="163"/>
    </row>
    <row r="9" spans="1:25" ht="18.75" customHeight="1">
      <c r="A9" s="180" t="s">
        <v>195</v>
      </c>
      <c r="B9" s="63" t="s">
        <v>115</v>
      </c>
      <c r="C9" s="173" t="str">
        <f t="shared" si="2"/>
        <v>CFG 2</v>
      </c>
      <c r="D9" s="59" t="s">
        <v>26</v>
      </c>
      <c r="E9" s="59"/>
      <c r="F9" s="63" t="s">
        <v>17</v>
      </c>
      <c r="G9" s="185">
        <f t="shared" si="0"/>
        <v>3167.8477280293741</v>
      </c>
      <c r="H9" s="185">
        <f t="shared" si="3"/>
        <v>3292.2438699835252</v>
      </c>
      <c r="I9" s="185">
        <f t="shared" si="4"/>
        <v>3492.2708237302559</v>
      </c>
      <c r="J9" s="188"/>
      <c r="K9" s="188"/>
      <c r="L9" s="189"/>
      <c r="M9" s="47"/>
      <c r="N9" s="42"/>
      <c r="O9" s="165">
        <v>80</v>
      </c>
      <c r="P9" s="166" t="s">
        <v>143</v>
      </c>
      <c r="Q9" s="166" t="s">
        <v>151</v>
      </c>
      <c r="R9" s="166" t="str">
        <f t="shared" si="5"/>
        <v>04421C</v>
      </c>
      <c r="S9" s="165" t="s">
        <v>26</v>
      </c>
      <c r="T9" s="163">
        <f t="shared" si="1"/>
        <v>39.598999999999997</v>
      </c>
      <c r="U9" s="163">
        <f t="shared" si="7"/>
        <v>41.153999999999996</v>
      </c>
      <c r="V9" s="163">
        <f t="shared" si="8"/>
        <v>43.653999999999996</v>
      </c>
      <c r="W9" s="163"/>
      <c r="X9" s="163"/>
      <c r="Y9" s="163"/>
    </row>
    <row r="10" spans="1:25" ht="18.75" customHeight="1">
      <c r="A10" s="180" t="s">
        <v>27</v>
      </c>
      <c r="B10" s="63" t="s">
        <v>115</v>
      </c>
      <c r="C10" s="173" t="str">
        <f t="shared" si="2"/>
        <v>CFF 2</v>
      </c>
      <c r="D10" s="59" t="s">
        <v>28</v>
      </c>
      <c r="E10" s="59"/>
      <c r="F10" s="63" t="s">
        <v>17</v>
      </c>
      <c r="G10" s="185">
        <f t="shared" si="0"/>
        <v>3167.8477280293741</v>
      </c>
      <c r="H10" s="185">
        <f t="shared" si="3"/>
        <v>3292.2438699835252</v>
      </c>
      <c r="I10" s="185">
        <f t="shared" si="4"/>
        <v>3492.2708237302559</v>
      </c>
      <c r="J10" s="188"/>
      <c r="K10" s="188"/>
      <c r="L10" s="189"/>
      <c r="M10" s="47"/>
      <c r="N10" s="42"/>
      <c r="O10" s="165">
        <v>109.2</v>
      </c>
      <c r="P10" s="166" t="s">
        <v>144</v>
      </c>
      <c r="Q10" s="166" t="s">
        <v>150</v>
      </c>
      <c r="R10" s="166" t="str">
        <f t="shared" si="5"/>
        <v>04389C</v>
      </c>
      <c r="S10" s="165" t="s">
        <v>28</v>
      </c>
      <c r="T10" s="163">
        <f t="shared" si="1"/>
        <v>29.01</v>
      </c>
      <c r="U10" s="163">
        <f t="shared" si="7"/>
        <v>30.149000000000001</v>
      </c>
      <c r="V10" s="163">
        <f t="shared" si="8"/>
        <v>31.981000000000002</v>
      </c>
      <c r="W10" s="163"/>
      <c r="X10" s="163"/>
      <c r="Y10" s="163"/>
    </row>
    <row r="11" spans="1:25" ht="18.75" customHeight="1">
      <c r="A11" s="180" t="s">
        <v>29</v>
      </c>
      <c r="B11" s="63" t="s">
        <v>115</v>
      </c>
      <c r="C11" s="173" t="str">
        <f t="shared" si="2"/>
        <v>CFF 3</v>
      </c>
      <c r="D11" s="59" t="s">
        <v>30</v>
      </c>
      <c r="E11" s="59"/>
      <c r="F11" s="63" t="s">
        <v>17</v>
      </c>
      <c r="G11" s="185">
        <f t="shared" si="0"/>
        <v>3590.7946106734848</v>
      </c>
      <c r="H11" s="185">
        <f t="shared" si="3"/>
        <v>3733.1590842432342</v>
      </c>
      <c r="I11" s="185">
        <f t="shared" si="4"/>
        <v>3961.6547035115245</v>
      </c>
      <c r="J11" s="188"/>
      <c r="K11" s="188"/>
      <c r="L11" s="189"/>
      <c r="M11" s="47"/>
      <c r="N11" s="42"/>
      <c r="O11" s="165">
        <v>109.2</v>
      </c>
      <c r="P11" s="166" t="s">
        <v>144</v>
      </c>
      <c r="Q11" s="166" t="s">
        <v>152</v>
      </c>
      <c r="R11" s="166" t="str">
        <f t="shared" si="5"/>
        <v>04370C</v>
      </c>
      <c r="S11" s="165" t="s">
        <v>30</v>
      </c>
      <c r="T11" s="163">
        <f t="shared" si="1"/>
        <v>32.882999999999996</v>
      </c>
      <c r="U11" s="163">
        <f t="shared" si="7"/>
        <v>34.186999999999998</v>
      </c>
      <c r="V11" s="163">
        <f t="shared" si="8"/>
        <v>36.278999999999996</v>
      </c>
      <c r="W11" s="163"/>
      <c r="X11" s="163"/>
      <c r="Y11" s="163"/>
    </row>
    <row r="12" spans="1:25" ht="18.75" customHeight="1">
      <c r="A12" s="180" t="s">
        <v>31</v>
      </c>
      <c r="B12" s="63" t="s">
        <v>115</v>
      </c>
      <c r="C12" s="173" t="str">
        <f t="shared" si="2"/>
        <v>CFG 3</v>
      </c>
      <c r="D12" s="59" t="s">
        <v>32</v>
      </c>
      <c r="E12" s="59"/>
      <c r="F12" s="63" t="s">
        <v>17</v>
      </c>
      <c r="G12" s="185">
        <f t="shared" si="0"/>
        <v>3590.7946106734848</v>
      </c>
      <c r="H12" s="185">
        <f t="shared" si="3"/>
        <v>3733.1590842432342</v>
      </c>
      <c r="I12" s="185">
        <f t="shared" si="4"/>
        <v>3961.6547035115245</v>
      </c>
      <c r="J12" s="188"/>
      <c r="K12" s="188"/>
      <c r="L12" s="189"/>
      <c r="M12" s="47"/>
      <c r="N12" s="42"/>
      <c r="O12" s="165">
        <v>80</v>
      </c>
      <c r="P12" s="166" t="s">
        <v>143</v>
      </c>
      <c r="Q12" s="166" t="s">
        <v>153</v>
      </c>
      <c r="R12" s="166" t="str">
        <f t="shared" si="5"/>
        <v>04371C</v>
      </c>
      <c r="S12" s="165" t="s">
        <v>32</v>
      </c>
      <c r="T12" s="163">
        <f t="shared" si="1"/>
        <v>44.884999999999998</v>
      </c>
      <c r="U12" s="163">
        <f t="shared" si="7"/>
        <v>46.664999999999999</v>
      </c>
      <c r="V12" s="163">
        <f t="shared" si="8"/>
        <v>49.521000000000001</v>
      </c>
      <c r="W12" s="163"/>
      <c r="X12" s="163"/>
      <c r="Y12" s="163"/>
    </row>
    <row r="13" spans="1:25" ht="18.75" customHeight="1">
      <c r="A13" s="180" t="s">
        <v>33</v>
      </c>
      <c r="B13" s="63" t="s">
        <v>115</v>
      </c>
      <c r="C13" s="173" t="str">
        <f t="shared" si="2"/>
        <v>CFF 3</v>
      </c>
      <c r="D13" s="59" t="s">
        <v>34</v>
      </c>
      <c r="E13" s="59"/>
      <c r="F13" s="63" t="s">
        <v>17</v>
      </c>
      <c r="G13" s="185">
        <f t="shared" si="0"/>
        <v>3590.7946106734848</v>
      </c>
      <c r="H13" s="185">
        <f t="shared" si="3"/>
        <v>3733.1590842432342</v>
      </c>
      <c r="I13" s="185">
        <f t="shared" si="4"/>
        <v>3961.6547035115245</v>
      </c>
      <c r="J13" s="188"/>
      <c r="K13" s="188"/>
      <c r="L13" s="189"/>
      <c r="M13" s="47"/>
      <c r="N13" s="42"/>
      <c r="O13" s="165">
        <v>109.2</v>
      </c>
      <c r="P13" s="166" t="s">
        <v>144</v>
      </c>
      <c r="Q13" s="166" t="s">
        <v>152</v>
      </c>
      <c r="R13" s="166" t="str">
        <f t="shared" si="5"/>
        <v>04400C</v>
      </c>
      <c r="S13" s="165" t="s">
        <v>34</v>
      </c>
      <c r="T13" s="163">
        <f t="shared" si="1"/>
        <v>32.882999999999996</v>
      </c>
      <c r="U13" s="163">
        <f t="shared" si="7"/>
        <v>34.186999999999998</v>
      </c>
      <c r="V13" s="163">
        <f t="shared" si="8"/>
        <v>36.278999999999996</v>
      </c>
      <c r="W13" s="163"/>
      <c r="X13" s="163"/>
      <c r="Y13" s="163"/>
    </row>
    <row r="14" spans="1:25" ht="18.75" customHeight="1">
      <c r="A14" s="180" t="s">
        <v>35</v>
      </c>
      <c r="B14" s="63" t="s">
        <v>115</v>
      </c>
      <c r="C14" s="173" t="str">
        <f t="shared" si="2"/>
        <v>CFG 3</v>
      </c>
      <c r="D14" s="59" t="s">
        <v>36</v>
      </c>
      <c r="E14" s="59"/>
      <c r="F14" s="63" t="s">
        <v>17</v>
      </c>
      <c r="G14" s="185">
        <f t="shared" si="0"/>
        <v>3590.7946106734848</v>
      </c>
      <c r="H14" s="185">
        <f t="shared" si="3"/>
        <v>3733.1590842432342</v>
      </c>
      <c r="I14" s="185">
        <f t="shared" si="4"/>
        <v>3961.6547035115245</v>
      </c>
      <c r="J14" s="188"/>
      <c r="K14" s="188"/>
      <c r="L14" s="189"/>
      <c r="M14" s="47"/>
      <c r="N14" s="42"/>
      <c r="O14" s="165">
        <v>80</v>
      </c>
      <c r="P14" s="166" t="s">
        <v>143</v>
      </c>
      <c r="Q14" s="166" t="s">
        <v>153</v>
      </c>
      <c r="R14" s="166" t="str">
        <f t="shared" si="5"/>
        <v>04401C</v>
      </c>
      <c r="S14" s="165" t="s">
        <v>36</v>
      </c>
      <c r="T14" s="163">
        <f t="shared" si="1"/>
        <v>44.884999999999998</v>
      </c>
      <c r="U14" s="163">
        <f t="shared" si="7"/>
        <v>46.664999999999999</v>
      </c>
      <c r="V14" s="163">
        <f t="shared" si="8"/>
        <v>49.521000000000001</v>
      </c>
      <c r="W14" s="163"/>
      <c r="X14" s="163"/>
      <c r="Y14" s="163"/>
    </row>
    <row r="15" spans="1:25" ht="18.75" customHeight="1">
      <c r="A15" s="180" t="s">
        <v>37</v>
      </c>
      <c r="B15" s="63" t="s">
        <v>115</v>
      </c>
      <c r="C15" s="173" t="str">
        <f t="shared" si="2"/>
        <v>CFF 3</v>
      </c>
      <c r="D15" s="59" t="s">
        <v>38</v>
      </c>
      <c r="E15" s="59"/>
      <c r="F15" s="63" t="s">
        <v>17</v>
      </c>
      <c r="G15" s="185">
        <f t="shared" si="0"/>
        <v>3590.7946106734848</v>
      </c>
      <c r="H15" s="185">
        <f t="shared" si="3"/>
        <v>3733.1590842432342</v>
      </c>
      <c r="I15" s="185">
        <f t="shared" si="4"/>
        <v>3961.6547035115245</v>
      </c>
      <c r="J15" s="188"/>
      <c r="K15" s="188"/>
      <c r="L15" s="189"/>
      <c r="M15" s="47"/>
      <c r="N15" s="42"/>
      <c r="O15" s="165">
        <v>109.2</v>
      </c>
      <c r="P15" s="166" t="s">
        <v>144</v>
      </c>
      <c r="Q15" s="166" t="s">
        <v>152</v>
      </c>
      <c r="R15" s="166" t="str">
        <f t="shared" si="5"/>
        <v>04390C</v>
      </c>
      <c r="S15" s="165" t="s">
        <v>38</v>
      </c>
      <c r="T15" s="163">
        <f t="shared" si="1"/>
        <v>32.882999999999996</v>
      </c>
      <c r="U15" s="163">
        <f t="shared" si="7"/>
        <v>34.186999999999998</v>
      </c>
      <c r="V15" s="163">
        <f t="shared" si="8"/>
        <v>36.278999999999996</v>
      </c>
      <c r="W15" s="163"/>
      <c r="X15" s="163"/>
      <c r="Y15" s="163"/>
    </row>
    <row r="16" spans="1:25" ht="18.75" customHeight="1">
      <c r="A16" s="180" t="s">
        <v>41</v>
      </c>
      <c r="B16" s="63" t="s">
        <v>115</v>
      </c>
      <c r="C16" s="173" t="str">
        <f t="shared" si="2"/>
        <v>CFF 4</v>
      </c>
      <c r="D16" s="65" t="s">
        <v>113</v>
      </c>
      <c r="E16" s="59"/>
      <c r="F16" s="63" t="s">
        <v>17</v>
      </c>
      <c r="G16" s="188">
        <f t="shared" si="0"/>
        <v>3675.1075513312967</v>
      </c>
      <c r="H16" s="188">
        <f t="shared" si="3"/>
        <v>3737.3056223083727</v>
      </c>
      <c r="I16" s="188">
        <f t="shared" si="4"/>
        <v>3800.8858726404937</v>
      </c>
      <c r="J16" s="188">
        <f>VLOOKUP($A16,Jan2021Rates,10,0)*PercIncrJuly2021</f>
        <v>3864.4661229726157</v>
      </c>
      <c r="K16" s="188">
        <f>VLOOKUP($A16,Jan2021Rates,11,0)*PercIncrJuly2021</f>
        <v>4100.2077764590076</v>
      </c>
      <c r="L16" s="189"/>
      <c r="M16" s="47"/>
      <c r="N16" s="42"/>
      <c r="O16" s="165">
        <v>109.2</v>
      </c>
      <c r="P16" s="166" t="s">
        <v>144</v>
      </c>
      <c r="Q16" s="166" t="s">
        <v>154</v>
      </c>
      <c r="R16" s="166" t="str">
        <f t="shared" si="5"/>
        <v>04436C</v>
      </c>
      <c r="S16" s="167" t="s">
        <v>113</v>
      </c>
      <c r="T16" s="163">
        <f t="shared" si="1"/>
        <v>33.655000000000001</v>
      </c>
      <c r="U16" s="163">
        <f t="shared" si="7"/>
        <v>34.224999999999994</v>
      </c>
      <c r="V16" s="163">
        <f t="shared" si="8"/>
        <v>34.806999999999995</v>
      </c>
      <c r="W16" s="163">
        <f t="shared" ref="W16:X18" si="9">ROUNDUP(J16/$O16,3)</f>
        <v>35.388999999999996</v>
      </c>
      <c r="X16" s="163">
        <f t="shared" si="9"/>
        <v>37.547999999999995</v>
      </c>
      <c r="Y16" s="163"/>
    </row>
    <row r="17" spans="1:26" ht="18.75" customHeight="1" thickBot="1">
      <c r="A17" s="181" t="s">
        <v>39</v>
      </c>
      <c r="B17" s="182" t="s">
        <v>115</v>
      </c>
      <c r="C17" s="182" t="str">
        <f t="shared" si="2"/>
        <v>CFG 4</v>
      </c>
      <c r="D17" s="183" t="s">
        <v>42</v>
      </c>
      <c r="E17" s="184"/>
      <c r="F17" s="182" t="s">
        <v>17</v>
      </c>
      <c r="G17" s="190">
        <f t="shared" si="0"/>
        <v>3675.1075513312967</v>
      </c>
      <c r="H17" s="190">
        <f t="shared" si="3"/>
        <v>3737.3056223083727</v>
      </c>
      <c r="I17" s="190">
        <f t="shared" si="4"/>
        <v>3800.8858726404937</v>
      </c>
      <c r="J17" s="190">
        <f>VLOOKUP($A17,Jan2021Rates,10,0)*PercIncrJuly2021</f>
        <v>3864.4661229726157</v>
      </c>
      <c r="K17" s="190">
        <f>VLOOKUP($A17,Jan2021Rates,11,0)*PercIncrJuly2021</f>
        <v>4100.2077764590076</v>
      </c>
      <c r="L17" s="191"/>
      <c r="M17" s="47"/>
      <c r="N17" s="42"/>
      <c r="O17" s="165">
        <v>80</v>
      </c>
      <c r="P17" s="166" t="s">
        <v>143</v>
      </c>
      <c r="Q17" s="166" t="s">
        <v>155</v>
      </c>
      <c r="R17" s="166" t="str">
        <f t="shared" si="5"/>
        <v>04435C</v>
      </c>
      <c r="S17" s="165" t="s">
        <v>42</v>
      </c>
      <c r="T17" s="163">
        <f t="shared" si="1"/>
        <v>45.939</v>
      </c>
      <c r="U17" s="163">
        <f t="shared" si="7"/>
        <v>46.716999999999999</v>
      </c>
      <c r="V17" s="163">
        <f t="shared" si="8"/>
        <v>47.512</v>
      </c>
      <c r="W17" s="163">
        <f t="shared" si="9"/>
        <v>48.305999999999997</v>
      </c>
      <c r="X17" s="163">
        <f t="shared" si="9"/>
        <v>51.253</v>
      </c>
      <c r="Y17" s="163"/>
    </row>
    <row r="18" spans="1:26" ht="18.75" customHeight="1" thickBot="1">
      <c r="A18" s="195" t="s">
        <v>280</v>
      </c>
      <c r="B18" s="196" t="s">
        <v>115</v>
      </c>
      <c r="C18" s="196" t="str">
        <f t="shared" si="2"/>
        <v>CFH 1</v>
      </c>
      <c r="D18" s="197" t="s">
        <v>281</v>
      </c>
      <c r="E18" s="198"/>
      <c r="F18" s="196" t="s">
        <v>17</v>
      </c>
      <c r="G18" s="199">
        <f t="shared" si="0"/>
        <v>2555.4775373414345</v>
      </c>
      <c r="H18" s="199">
        <f t="shared" si="3"/>
        <v>2657.6966388350911</v>
      </c>
      <c r="I18" s="199">
        <f t="shared" si="4"/>
        <v>2764.0045043884952</v>
      </c>
      <c r="J18" s="199">
        <f>VLOOKUP($A18,Jan2021Rates,10,0)*PercIncrJuly2021</f>
        <v>2874.5646845640354</v>
      </c>
      <c r="K18" s="199">
        <f>VLOOKUP($A18,Jan2021Rates,11,0)*PercIncrJuly2021</f>
        <v>2989.547271946597</v>
      </c>
      <c r="L18" s="200">
        <f>VLOOKUP($A18,Jan2021Rates,12,0)*PercIncrJuly2021</f>
        <v>3109.1291628244612</v>
      </c>
      <c r="M18" s="47"/>
      <c r="N18" s="42"/>
      <c r="O18" s="165">
        <v>109.2</v>
      </c>
      <c r="P18" s="166" t="s">
        <v>284</v>
      </c>
      <c r="Q18" s="166" t="s">
        <v>235</v>
      </c>
      <c r="R18" s="166" t="str">
        <f t="shared" si="5"/>
        <v>04452C</v>
      </c>
      <c r="S18" s="165" t="s">
        <v>281</v>
      </c>
      <c r="T18" s="163">
        <f t="shared" si="1"/>
        <v>23.402000000000001</v>
      </c>
      <c r="U18" s="163">
        <f t="shared" si="7"/>
        <v>24.338000000000001</v>
      </c>
      <c r="V18" s="163">
        <f t="shared" si="8"/>
        <v>25.312000000000001</v>
      </c>
      <c r="W18" s="163">
        <f t="shared" si="9"/>
        <v>26.324000000000002</v>
      </c>
      <c r="X18" s="163">
        <f t="shared" si="9"/>
        <v>27.377000000000002</v>
      </c>
      <c r="Y18" s="163">
        <f>ROUNDUP(L18/$O18,3)</f>
        <v>28.472000000000001</v>
      </c>
      <c r="Z18" s="42" t="s">
        <v>283</v>
      </c>
    </row>
    <row r="19" spans="1:26" ht="27.75" customHeight="1">
      <c r="A19" s="41" t="s">
        <v>107</v>
      </c>
      <c r="C19" s="46"/>
      <c r="G19" s="46"/>
      <c r="H19" s="46"/>
      <c r="I19" s="46"/>
      <c r="J19" s="46"/>
      <c r="K19" s="46"/>
      <c r="L19" s="46"/>
      <c r="M19" s="46"/>
    </row>
    <row r="20" spans="1:26" ht="17.25" customHeight="1">
      <c r="A20" s="50" t="s">
        <v>50</v>
      </c>
      <c r="C20" s="46"/>
      <c r="G20" s="46"/>
      <c r="H20" s="46"/>
      <c r="I20" s="46"/>
      <c r="J20" s="46"/>
      <c r="K20" s="46"/>
      <c r="L20" s="46"/>
      <c r="M20" s="46"/>
    </row>
    <row r="21" spans="1:26" ht="17.25" customHeight="1">
      <c r="A21" s="42" t="s">
        <v>51</v>
      </c>
      <c r="C21" s="46"/>
      <c r="G21" s="46"/>
      <c r="H21" s="46"/>
      <c r="I21" s="46"/>
      <c r="J21" s="46"/>
      <c r="K21" s="46"/>
      <c r="L21" s="46"/>
      <c r="M21" s="46"/>
    </row>
    <row r="22" spans="1:26" ht="17.25" customHeight="1">
      <c r="A22" s="50" t="s">
        <v>52</v>
      </c>
      <c r="B22" s="46"/>
      <c r="C22" s="46"/>
    </row>
    <row r="23" spans="1:26" ht="17.25" customHeight="1">
      <c r="A23" s="50"/>
      <c r="B23" s="46"/>
      <c r="C23" s="46"/>
      <c r="S23" s="202"/>
      <c r="T23" s="301" t="s">
        <v>278</v>
      </c>
      <c r="U23" s="301"/>
    </row>
    <row r="24" spans="1:26" ht="27.75" customHeight="1">
      <c r="A24" s="41" t="s">
        <v>136</v>
      </c>
      <c r="B24" s="42" t="s">
        <v>160</v>
      </c>
      <c r="S24" s="202"/>
      <c r="T24" s="161" t="s">
        <v>230</v>
      </c>
      <c r="U24" s="161" t="s">
        <v>231</v>
      </c>
    </row>
    <row r="25" spans="1:26" ht="17.25" customHeight="1">
      <c r="A25" s="49">
        <f>'January 1, 2021'!A25*1.0175</f>
        <v>17.304996049767286</v>
      </c>
      <c r="B25" s="52" t="s">
        <v>161</v>
      </c>
      <c r="C25" s="52"/>
      <c r="D25" s="263"/>
      <c r="E25" s="52"/>
      <c r="F25" s="52"/>
      <c r="G25" s="52"/>
      <c r="H25" s="52"/>
      <c r="I25" s="52"/>
      <c r="J25" s="52"/>
      <c r="K25" s="52"/>
      <c r="L25" s="52"/>
      <c r="M25" s="52"/>
      <c r="N25" s="140"/>
      <c r="R25" s="94" t="str">
        <f>"Non FF "&amp;B25</f>
        <v>Non FF  7th year of service</v>
      </c>
      <c r="S25" s="203">
        <f>A25</f>
        <v>17.304996049767286</v>
      </c>
      <c r="T25" s="162">
        <f t="shared" ref="T25:T43" si="10">ROUND(A25/109.2,3)</f>
        <v>0.158</v>
      </c>
      <c r="U25" s="163">
        <f t="shared" ref="U25:U43" si="11">ROUND(A25/80,3)</f>
        <v>0.216</v>
      </c>
    </row>
    <row r="26" spans="1:26" ht="17.25" customHeight="1">
      <c r="A26" s="49">
        <f>'January 1, 2021'!A26*1.0175</f>
        <v>24.54368720783981</v>
      </c>
      <c r="B26" s="52" t="s">
        <v>162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140"/>
      <c r="R26" s="94" t="str">
        <f t="shared" ref="R26:R43" si="12">"Non FF "&amp;B26</f>
        <v>Non FF  8th year of service</v>
      </c>
      <c r="S26" s="203">
        <f t="shared" ref="S26:S43" si="13">A26</f>
        <v>24.54368720783981</v>
      </c>
      <c r="T26" s="162">
        <f t="shared" si="10"/>
        <v>0.22500000000000001</v>
      </c>
      <c r="U26" s="163">
        <f t="shared" si="11"/>
        <v>0.307</v>
      </c>
    </row>
    <row r="27" spans="1:26" ht="17.25" customHeight="1">
      <c r="A27" s="49">
        <f>'January 1, 2021'!A27*1.0175</f>
        <v>31.782378365912436</v>
      </c>
      <c r="B27" s="52" t="s">
        <v>163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140"/>
      <c r="R27" s="94" t="str">
        <f t="shared" si="12"/>
        <v>Non FF  9th year of service</v>
      </c>
      <c r="S27" s="203">
        <f t="shared" si="13"/>
        <v>31.782378365912436</v>
      </c>
      <c r="T27" s="162">
        <f t="shared" si="10"/>
        <v>0.29099999999999998</v>
      </c>
      <c r="U27" s="163">
        <f t="shared" si="11"/>
        <v>0.39700000000000002</v>
      </c>
    </row>
    <row r="28" spans="1:26" ht="17.25" customHeight="1">
      <c r="A28" s="49">
        <f>'January 1, 2021'!A28*1.0175</f>
        <v>39.021069523985062</v>
      </c>
      <c r="B28" s="52" t="s">
        <v>164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140"/>
      <c r="R28" s="94" t="str">
        <f t="shared" si="12"/>
        <v>Non FF  10th year of service</v>
      </c>
      <c r="S28" s="203">
        <f t="shared" si="13"/>
        <v>39.021069523985062</v>
      </c>
      <c r="T28" s="162">
        <f t="shared" si="10"/>
        <v>0.35699999999999998</v>
      </c>
      <c r="U28" s="163">
        <f t="shared" si="11"/>
        <v>0.48799999999999999</v>
      </c>
    </row>
    <row r="29" spans="1:26" ht="17.25" customHeight="1">
      <c r="A29" s="49">
        <f>'January 1, 2021'!A29*1.0175</f>
        <v>46.259760682057596</v>
      </c>
      <c r="B29" s="52" t="s">
        <v>165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140"/>
      <c r="R29" s="94" t="str">
        <f t="shared" si="12"/>
        <v>Non FF  11th year of service</v>
      </c>
      <c r="S29" s="203">
        <f t="shared" si="13"/>
        <v>46.259760682057596</v>
      </c>
      <c r="T29" s="162">
        <f t="shared" si="10"/>
        <v>0.42399999999999999</v>
      </c>
      <c r="U29" s="163">
        <f t="shared" si="11"/>
        <v>0.57799999999999996</v>
      </c>
    </row>
    <row r="30" spans="1:26" ht="17.25" customHeight="1">
      <c r="A30" s="49">
        <f>'January 1, 2021'!A30*1.0175</f>
        <v>139.81136105894521</v>
      </c>
      <c r="B30" s="52" t="s">
        <v>166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140"/>
      <c r="R30" s="94" t="str">
        <f t="shared" si="12"/>
        <v>Non FF  12th year of service</v>
      </c>
      <c r="S30" s="203">
        <f t="shared" si="13"/>
        <v>139.81136105894521</v>
      </c>
      <c r="T30" s="162">
        <f t="shared" si="10"/>
        <v>1.28</v>
      </c>
      <c r="U30" s="163">
        <f t="shared" si="11"/>
        <v>1.748</v>
      </c>
    </row>
    <row r="31" spans="1:26" ht="17.25" customHeight="1">
      <c r="A31" s="49">
        <f>'January 1, 2021'!A31*1.0175</f>
        <v>147.6721272384145</v>
      </c>
      <c r="B31" s="52" t="s">
        <v>167</v>
      </c>
      <c r="R31" s="94" t="str">
        <f t="shared" si="12"/>
        <v>Non FF  13th year of service</v>
      </c>
      <c r="S31" s="203">
        <f t="shared" si="13"/>
        <v>147.6721272384145</v>
      </c>
      <c r="T31" s="162">
        <f t="shared" si="10"/>
        <v>1.3520000000000001</v>
      </c>
      <c r="U31" s="163">
        <f t="shared" si="11"/>
        <v>1.8460000000000001</v>
      </c>
    </row>
    <row r="32" spans="1:26" ht="17.25" customHeight="1">
      <c r="A32" s="49">
        <f>'January 1, 2021'!A32*1.0175</f>
        <v>155.51875534921552</v>
      </c>
      <c r="B32" s="52" t="s">
        <v>168</v>
      </c>
      <c r="R32" s="94" t="str">
        <f t="shared" si="12"/>
        <v>Non FF  14th year of service</v>
      </c>
      <c r="S32" s="203">
        <f t="shared" si="13"/>
        <v>155.51875534921552</v>
      </c>
      <c r="T32" s="162">
        <f t="shared" si="10"/>
        <v>1.4239999999999999</v>
      </c>
      <c r="U32" s="163">
        <f t="shared" si="11"/>
        <v>1.944</v>
      </c>
    </row>
    <row r="33" spans="1:21" ht="17.25" customHeight="1">
      <c r="A33" s="49">
        <f>'January 1, 2021'!A33*1.0175</f>
        <v>203.41853199677402</v>
      </c>
      <c r="B33" s="52" t="s">
        <v>169</v>
      </c>
      <c r="R33" s="94" t="str">
        <f t="shared" si="12"/>
        <v>Non FF  15th year of service</v>
      </c>
      <c r="S33" s="203">
        <f t="shared" si="13"/>
        <v>203.41853199677402</v>
      </c>
      <c r="T33" s="162">
        <f t="shared" si="10"/>
        <v>1.863</v>
      </c>
      <c r="U33" s="163">
        <f t="shared" si="11"/>
        <v>2.5430000000000001</v>
      </c>
    </row>
    <row r="34" spans="1:21" ht="17.25" customHeight="1">
      <c r="A34" s="49">
        <f>'January 1, 2021'!A34*1.0175</f>
        <v>211.26516010757504</v>
      </c>
      <c r="B34" s="52" t="s">
        <v>170</v>
      </c>
      <c r="R34" s="94" t="str">
        <f t="shared" si="12"/>
        <v>Non FF  16th year of service</v>
      </c>
      <c r="S34" s="203">
        <f t="shared" si="13"/>
        <v>211.26516010757504</v>
      </c>
      <c r="T34" s="162">
        <f t="shared" si="10"/>
        <v>1.9350000000000001</v>
      </c>
      <c r="U34" s="163">
        <f t="shared" si="11"/>
        <v>2.641</v>
      </c>
    </row>
    <row r="35" spans="1:21" ht="17.25" customHeight="1">
      <c r="A35" s="49">
        <f>'January 1, 2021'!A35*1.0175</f>
        <v>219.12592628704436</v>
      </c>
      <c r="B35" s="52" t="s">
        <v>171</v>
      </c>
      <c r="R35" s="94" t="str">
        <f t="shared" si="12"/>
        <v>Non FF  17th year of service</v>
      </c>
      <c r="S35" s="203">
        <f t="shared" si="13"/>
        <v>219.12592628704436</v>
      </c>
      <c r="T35" s="162">
        <f t="shared" si="10"/>
        <v>2.0070000000000001</v>
      </c>
      <c r="U35" s="163">
        <f t="shared" si="11"/>
        <v>2.7389999999999999</v>
      </c>
    </row>
    <row r="36" spans="1:21" ht="17.25" customHeight="1">
      <c r="A36" s="49">
        <f>'January 1, 2021'!A36*1.0175</f>
        <v>226.98669246651477</v>
      </c>
      <c r="B36" s="52" t="s">
        <v>172</v>
      </c>
      <c r="R36" s="94" t="str">
        <f t="shared" si="12"/>
        <v>Non FF  18th year of service</v>
      </c>
      <c r="S36" s="203">
        <f t="shared" si="13"/>
        <v>226.98669246651477</v>
      </c>
      <c r="T36" s="162">
        <f t="shared" si="10"/>
        <v>2.0790000000000002</v>
      </c>
      <c r="U36" s="163">
        <f t="shared" si="11"/>
        <v>2.8370000000000002</v>
      </c>
    </row>
    <row r="37" spans="1:21" ht="17.25" customHeight="1">
      <c r="A37" s="49">
        <f>'January 1, 2021'!A37*1.0175</f>
        <v>249.26828868745639</v>
      </c>
      <c r="B37" s="52" t="s">
        <v>173</v>
      </c>
      <c r="R37" s="94" t="str">
        <f t="shared" si="12"/>
        <v>Non FF  19th year of service</v>
      </c>
      <c r="S37" s="203">
        <f t="shared" si="13"/>
        <v>249.26828868745639</v>
      </c>
      <c r="T37" s="162">
        <f t="shared" si="10"/>
        <v>2.2829999999999999</v>
      </c>
      <c r="U37" s="163">
        <f t="shared" si="11"/>
        <v>3.1160000000000001</v>
      </c>
    </row>
    <row r="38" spans="1:21" ht="17.25" customHeight="1">
      <c r="A38" s="49">
        <f>'January 1, 2021'!A38*1.0175</f>
        <v>313.17235906731577</v>
      </c>
      <c r="B38" s="52" t="s">
        <v>174</v>
      </c>
      <c r="R38" s="94" t="str">
        <f t="shared" si="12"/>
        <v>Non FF  20th year of service</v>
      </c>
      <c r="S38" s="203">
        <f t="shared" si="13"/>
        <v>313.17235906731577</v>
      </c>
      <c r="T38" s="162">
        <f t="shared" si="10"/>
        <v>2.8679999999999999</v>
      </c>
      <c r="U38" s="163">
        <f t="shared" si="11"/>
        <v>3.915</v>
      </c>
    </row>
    <row r="39" spans="1:21" ht="17.25" customHeight="1">
      <c r="A39" s="49">
        <f>'January 1, 2021'!A39*1.0175</f>
        <v>321.03312524678512</v>
      </c>
      <c r="B39" s="52" t="s">
        <v>175</v>
      </c>
      <c r="R39" s="94" t="str">
        <f t="shared" si="12"/>
        <v>Non FF  21st year of service</v>
      </c>
      <c r="S39" s="203">
        <f t="shared" si="13"/>
        <v>321.03312524678512</v>
      </c>
      <c r="T39" s="162">
        <f t="shared" si="10"/>
        <v>2.94</v>
      </c>
      <c r="U39" s="163">
        <f t="shared" si="11"/>
        <v>4.0129999999999999</v>
      </c>
    </row>
    <row r="40" spans="1:21" ht="17.25" customHeight="1">
      <c r="A40" s="49">
        <f>'January 1, 2021'!A40*1.0175</f>
        <v>328.89389142625441</v>
      </c>
      <c r="B40" s="52" t="s">
        <v>176</v>
      </c>
      <c r="R40" s="94" t="str">
        <f t="shared" si="12"/>
        <v>Non FF  22nd year of service</v>
      </c>
      <c r="S40" s="203">
        <f t="shared" si="13"/>
        <v>328.89389142625441</v>
      </c>
      <c r="T40" s="162">
        <f t="shared" si="10"/>
        <v>3.012</v>
      </c>
      <c r="U40" s="163">
        <f t="shared" si="11"/>
        <v>4.1109999999999998</v>
      </c>
    </row>
    <row r="41" spans="1:21" ht="17.25" customHeight="1">
      <c r="A41" s="49">
        <f>'January 1, 2021'!A41*1.0175</f>
        <v>336.75465760572479</v>
      </c>
      <c r="B41" s="52" t="s">
        <v>177</v>
      </c>
      <c r="R41" s="94" t="str">
        <f t="shared" si="12"/>
        <v>Non FF  23rd year of service</v>
      </c>
      <c r="S41" s="203">
        <f t="shared" si="13"/>
        <v>336.75465760572479</v>
      </c>
      <c r="T41" s="162">
        <f t="shared" si="10"/>
        <v>3.0840000000000001</v>
      </c>
      <c r="U41" s="163">
        <f t="shared" si="11"/>
        <v>4.2089999999999996</v>
      </c>
    </row>
    <row r="42" spans="1:21" ht="17.25" customHeight="1">
      <c r="A42" s="49">
        <f>'January 1, 2021'!A42*1.0175</f>
        <v>344.61542378519408</v>
      </c>
      <c r="B42" s="52" t="s">
        <v>178</v>
      </c>
      <c r="R42" s="94" t="str">
        <f t="shared" si="12"/>
        <v>Non FF  24th year of service</v>
      </c>
      <c r="S42" s="203">
        <f t="shared" si="13"/>
        <v>344.61542378519408</v>
      </c>
      <c r="T42" s="162">
        <f t="shared" si="10"/>
        <v>3.1560000000000001</v>
      </c>
      <c r="U42" s="163">
        <f t="shared" si="11"/>
        <v>4.3079999999999998</v>
      </c>
    </row>
    <row r="43" spans="1:21" ht="17.25" customHeight="1">
      <c r="A43" s="49">
        <f>'January 1, 2021'!A43*1.0175</f>
        <v>376.48263056311521</v>
      </c>
      <c r="B43" s="52" t="s">
        <v>179</v>
      </c>
      <c r="R43" s="94" t="str">
        <f t="shared" si="12"/>
        <v>Non FF  25th year of service</v>
      </c>
      <c r="S43" s="203">
        <f t="shared" si="13"/>
        <v>376.48263056311521</v>
      </c>
      <c r="T43" s="162">
        <f t="shared" si="10"/>
        <v>3.448</v>
      </c>
      <c r="U43" s="163">
        <f t="shared" si="11"/>
        <v>4.7060000000000004</v>
      </c>
    </row>
    <row r="44" spans="1:21">
      <c r="A44" s="50"/>
      <c r="B44" s="52"/>
      <c r="R44" s="94"/>
      <c r="S44" s="44"/>
      <c r="T44" s="46"/>
      <c r="U44" s="44"/>
    </row>
    <row r="45" spans="1:21" ht="27.75" customHeight="1">
      <c r="A45" s="41" t="s">
        <v>136</v>
      </c>
      <c r="B45" s="42" t="s">
        <v>181</v>
      </c>
      <c r="R45" s="94"/>
      <c r="S45" s="202"/>
      <c r="T45" s="161" t="s">
        <v>232</v>
      </c>
      <c r="U45" s="161" t="s">
        <v>233</v>
      </c>
    </row>
    <row r="46" spans="1:21" ht="17.25" customHeight="1">
      <c r="A46" s="49">
        <f>'January 1, 2021'!A46*1.0175</f>
        <v>17.304996049767286</v>
      </c>
      <c r="B46" s="52" t="s">
        <v>161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140"/>
      <c r="R46" s="94" t="str">
        <f>"FF "&amp;B46</f>
        <v>FF  7th year of service</v>
      </c>
      <c r="S46" s="203">
        <f t="shared" ref="S46:S65" si="14">A46</f>
        <v>17.304996049767286</v>
      </c>
      <c r="T46" s="162">
        <f t="shared" ref="T46:T65" si="15">ROUND(A46/109.2,3)</f>
        <v>0.158</v>
      </c>
      <c r="U46" s="163">
        <f t="shared" ref="U46:U65" si="16">ROUND(A46/80,3)</f>
        <v>0.216</v>
      </c>
    </row>
    <row r="47" spans="1:21" ht="17.25" customHeight="1">
      <c r="A47" s="49">
        <f>'January 1, 2021'!A47*1.0175</f>
        <v>24.54368720783981</v>
      </c>
      <c r="B47" s="52" t="s">
        <v>162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140"/>
      <c r="R47" s="94" t="str">
        <f t="shared" ref="R47:R65" si="17">"FF "&amp;B47</f>
        <v>FF  8th year of service</v>
      </c>
      <c r="S47" s="203">
        <f t="shared" si="14"/>
        <v>24.54368720783981</v>
      </c>
      <c r="T47" s="162">
        <f t="shared" si="15"/>
        <v>0.22500000000000001</v>
      </c>
      <c r="U47" s="163">
        <f t="shared" si="16"/>
        <v>0.307</v>
      </c>
    </row>
    <row r="48" spans="1:21" ht="17.25" customHeight="1">
      <c r="A48" s="49">
        <f>'January 1, 2021'!A48*1.0175</f>
        <v>31.782378365912436</v>
      </c>
      <c r="B48" s="52" t="s">
        <v>163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140"/>
      <c r="R48" s="94" t="str">
        <f t="shared" si="17"/>
        <v>FF  9th year of service</v>
      </c>
      <c r="S48" s="203">
        <f t="shared" si="14"/>
        <v>31.782378365912436</v>
      </c>
      <c r="T48" s="162">
        <f t="shared" si="15"/>
        <v>0.29099999999999998</v>
      </c>
      <c r="U48" s="163">
        <f t="shared" si="16"/>
        <v>0.39700000000000002</v>
      </c>
    </row>
    <row r="49" spans="1:21" ht="17.25" customHeight="1">
      <c r="A49" s="49">
        <f>'January 1, 2021'!A49*1.0175</f>
        <v>39.021069523985062</v>
      </c>
      <c r="B49" s="52" t="s">
        <v>164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140"/>
      <c r="R49" s="94" t="str">
        <f t="shared" si="17"/>
        <v>FF  10th year of service</v>
      </c>
      <c r="S49" s="203">
        <f t="shared" si="14"/>
        <v>39.021069523985062</v>
      </c>
      <c r="T49" s="162">
        <f t="shared" si="15"/>
        <v>0.35699999999999998</v>
      </c>
      <c r="U49" s="163">
        <f t="shared" si="16"/>
        <v>0.48799999999999999</v>
      </c>
    </row>
    <row r="50" spans="1:21" ht="17.25" customHeight="1">
      <c r="A50" s="49">
        <f>'January 1, 2021'!A50*1.0175</f>
        <v>46.259760682057596</v>
      </c>
      <c r="B50" s="52" t="s">
        <v>165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140"/>
      <c r="R50" s="94" t="str">
        <f t="shared" si="17"/>
        <v>FF  11th year of service</v>
      </c>
      <c r="S50" s="203">
        <f t="shared" si="14"/>
        <v>46.259760682057596</v>
      </c>
      <c r="T50" s="162">
        <f t="shared" si="15"/>
        <v>0.42399999999999999</v>
      </c>
      <c r="U50" s="163">
        <f t="shared" si="16"/>
        <v>0.57799999999999996</v>
      </c>
    </row>
    <row r="51" spans="1:21" ht="17.25" customHeight="1">
      <c r="A51" s="49">
        <f>'January 1, 2021'!A51*1.0175</f>
        <v>139.81136105894521</v>
      </c>
      <c r="B51" s="52" t="s">
        <v>166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140"/>
      <c r="R51" s="94" t="str">
        <f t="shared" si="17"/>
        <v>FF  12th year of service</v>
      </c>
      <c r="S51" s="203">
        <f t="shared" si="14"/>
        <v>139.81136105894521</v>
      </c>
      <c r="T51" s="162">
        <f t="shared" si="15"/>
        <v>1.28</v>
      </c>
      <c r="U51" s="163">
        <f t="shared" si="16"/>
        <v>1.748</v>
      </c>
    </row>
    <row r="52" spans="1:21" ht="17.25" customHeight="1">
      <c r="A52" s="49">
        <f>'January 1, 2021'!A52*1.0175</f>
        <v>147.6721272384145</v>
      </c>
      <c r="B52" s="52" t="s">
        <v>167</v>
      </c>
      <c r="R52" s="94" t="str">
        <f t="shared" si="17"/>
        <v>FF  13th year of service</v>
      </c>
      <c r="S52" s="203">
        <f t="shared" si="14"/>
        <v>147.6721272384145</v>
      </c>
      <c r="T52" s="162">
        <f t="shared" si="15"/>
        <v>1.3520000000000001</v>
      </c>
      <c r="U52" s="163">
        <f t="shared" si="16"/>
        <v>1.8460000000000001</v>
      </c>
    </row>
    <row r="53" spans="1:21" ht="17.25" customHeight="1">
      <c r="A53" s="49">
        <f>'January 1, 2021'!A53*1.0175</f>
        <v>155.51875534921552</v>
      </c>
      <c r="B53" s="52" t="s">
        <v>168</v>
      </c>
      <c r="R53" s="94" t="str">
        <f t="shared" si="17"/>
        <v>FF  14th year of service</v>
      </c>
      <c r="S53" s="203">
        <f t="shared" si="14"/>
        <v>155.51875534921552</v>
      </c>
      <c r="T53" s="162">
        <f t="shared" si="15"/>
        <v>1.4239999999999999</v>
      </c>
      <c r="U53" s="163">
        <f t="shared" si="16"/>
        <v>1.944</v>
      </c>
    </row>
    <row r="54" spans="1:21" ht="17.25" customHeight="1">
      <c r="A54" s="49">
        <f>'January 1, 2021'!A54*1.0175</f>
        <v>203.41853199677402</v>
      </c>
      <c r="B54" s="52" t="s">
        <v>169</v>
      </c>
      <c r="R54" s="94" t="str">
        <f t="shared" si="17"/>
        <v>FF  15th year of service</v>
      </c>
      <c r="S54" s="203">
        <f t="shared" si="14"/>
        <v>203.41853199677402</v>
      </c>
      <c r="T54" s="162">
        <f t="shared" si="15"/>
        <v>1.863</v>
      </c>
      <c r="U54" s="163">
        <f t="shared" si="16"/>
        <v>2.5430000000000001</v>
      </c>
    </row>
    <row r="55" spans="1:21" ht="17.25" customHeight="1">
      <c r="A55" s="49">
        <f>'January 1, 2021'!A55*1.0175</f>
        <v>211.26516010757504</v>
      </c>
      <c r="B55" s="52" t="s">
        <v>170</v>
      </c>
      <c r="R55" s="94" t="str">
        <f t="shared" si="17"/>
        <v>FF  16th year of service</v>
      </c>
      <c r="S55" s="203">
        <f t="shared" si="14"/>
        <v>211.26516010757504</v>
      </c>
      <c r="T55" s="162">
        <f t="shared" si="15"/>
        <v>1.9350000000000001</v>
      </c>
      <c r="U55" s="163">
        <f t="shared" si="16"/>
        <v>2.641</v>
      </c>
    </row>
    <row r="56" spans="1:21" ht="17.25" customHeight="1">
      <c r="A56" s="49">
        <f>'January 1, 2021'!A56*1.0175</f>
        <v>219.12592628704436</v>
      </c>
      <c r="B56" s="52" t="s">
        <v>171</v>
      </c>
      <c r="R56" s="94" t="str">
        <f t="shared" si="17"/>
        <v>FF  17th year of service</v>
      </c>
      <c r="S56" s="203">
        <f t="shared" si="14"/>
        <v>219.12592628704436</v>
      </c>
      <c r="T56" s="162">
        <f t="shared" si="15"/>
        <v>2.0070000000000001</v>
      </c>
      <c r="U56" s="163">
        <f t="shared" si="16"/>
        <v>2.7389999999999999</v>
      </c>
    </row>
    <row r="57" spans="1:21" ht="17.25" customHeight="1">
      <c r="A57" s="49">
        <f>'January 1, 2021'!A57*1.0175</f>
        <v>226.98669246651477</v>
      </c>
      <c r="B57" s="52" t="s">
        <v>172</v>
      </c>
      <c r="R57" s="94" t="str">
        <f t="shared" si="17"/>
        <v>FF  18th year of service</v>
      </c>
      <c r="S57" s="203">
        <f t="shared" si="14"/>
        <v>226.98669246651477</v>
      </c>
      <c r="T57" s="162">
        <f t="shared" si="15"/>
        <v>2.0790000000000002</v>
      </c>
      <c r="U57" s="163">
        <f t="shared" si="16"/>
        <v>2.8370000000000002</v>
      </c>
    </row>
    <row r="58" spans="1:21" ht="17.25" customHeight="1">
      <c r="A58" s="49">
        <f>'January 1, 2021'!A58*1.0175</f>
        <v>249.26828868745639</v>
      </c>
      <c r="B58" s="52" t="s">
        <v>173</v>
      </c>
      <c r="R58" s="94" t="str">
        <f t="shared" si="17"/>
        <v>FF  19th year of service</v>
      </c>
      <c r="S58" s="203">
        <f t="shared" si="14"/>
        <v>249.26828868745639</v>
      </c>
      <c r="T58" s="162">
        <f t="shared" si="15"/>
        <v>2.2829999999999999</v>
      </c>
      <c r="U58" s="163">
        <f t="shared" si="16"/>
        <v>3.1160000000000001</v>
      </c>
    </row>
    <row r="59" spans="1:21" ht="17.25" customHeight="1">
      <c r="A59" s="49">
        <f>'January 1, 2021'!A59*1.0175</f>
        <v>313.17235906731577</v>
      </c>
      <c r="B59" s="52" t="s">
        <v>174</v>
      </c>
      <c r="R59" s="94" t="str">
        <f t="shared" si="17"/>
        <v>FF  20th year of service</v>
      </c>
      <c r="S59" s="203">
        <f t="shared" si="14"/>
        <v>313.17235906731577</v>
      </c>
      <c r="T59" s="162">
        <f t="shared" si="15"/>
        <v>2.8679999999999999</v>
      </c>
      <c r="U59" s="163">
        <f t="shared" si="16"/>
        <v>3.915</v>
      </c>
    </row>
    <row r="60" spans="1:21" ht="17.25" customHeight="1">
      <c r="A60" s="49">
        <f>'January 1, 2021'!A60*1.0175</f>
        <v>368.90712694660954</v>
      </c>
      <c r="B60" s="52" t="s">
        <v>175</v>
      </c>
      <c r="R60" s="94" t="str">
        <f t="shared" si="17"/>
        <v>FF  21st year of service</v>
      </c>
      <c r="S60" s="203">
        <f t="shared" si="14"/>
        <v>368.90712694660954</v>
      </c>
      <c r="T60" s="162">
        <f t="shared" si="15"/>
        <v>3.3780000000000001</v>
      </c>
      <c r="U60" s="163">
        <f t="shared" si="16"/>
        <v>4.6109999999999998</v>
      </c>
    </row>
    <row r="61" spans="1:21" ht="17.25" customHeight="1">
      <c r="A61" s="49">
        <f>'January 1, 2021'!A61*1.0175</f>
        <v>376.767893126079</v>
      </c>
      <c r="B61" s="52" t="s">
        <v>176</v>
      </c>
      <c r="R61" s="94" t="str">
        <f t="shared" si="17"/>
        <v>FF  22nd year of service</v>
      </c>
      <c r="S61" s="203">
        <f t="shared" si="14"/>
        <v>376.767893126079</v>
      </c>
      <c r="T61" s="162">
        <f t="shared" si="15"/>
        <v>3.45</v>
      </c>
      <c r="U61" s="163">
        <f t="shared" si="16"/>
        <v>4.71</v>
      </c>
    </row>
    <row r="62" spans="1:21" ht="17.25" customHeight="1">
      <c r="A62" s="49">
        <f>'January 1, 2021'!A62*1.0175</f>
        <v>384.62865930554852</v>
      </c>
      <c r="B62" s="52" t="s">
        <v>177</v>
      </c>
      <c r="R62" s="94" t="str">
        <f t="shared" si="17"/>
        <v>FF  23rd year of service</v>
      </c>
      <c r="S62" s="203">
        <f t="shared" si="14"/>
        <v>384.62865930554852</v>
      </c>
      <c r="T62" s="162">
        <f t="shared" si="15"/>
        <v>3.5219999999999998</v>
      </c>
      <c r="U62" s="163">
        <f t="shared" si="16"/>
        <v>4.8079999999999998</v>
      </c>
    </row>
    <row r="63" spans="1:21" ht="17.25" customHeight="1">
      <c r="A63" s="49">
        <f>'January 1, 2021'!A63*1.0175</f>
        <v>392.48942548501805</v>
      </c>
      <c r="B63" s="52" t="s">
        <v>178</v>
      </c>
      <c r="R63" s="94" t="str">
        <f t="shared" si="17"/>
        <v>FF  24th year of service</v>
      </c>
      <c r="S63" s="203">
        <f t="shared" si="14"/>
        <v>392.48942548501805</v>
      </c>
      <c r="T63" s="162">
        <f t="shared" si="15"/>
        <v>3.5939999999999999</v>
      </c>
      <c r="U63" s="163">
        <f t="shared" si="16"/>
        <v>4.9059999999999997</v>
      </c>
    </row>
    <row r="64" spans="1:21" ht="17.25" customHeight="1">
      <c r="A64" s="49">
        <f>'January 1, 2021'!A64*1.0175</f>
        <v>424.35663226293917</v>
      </c>
      <c r="B64" s="52" t="s">
        <v>179</v>
      </c>
      <c r="R64" s="94" t="str">
        <f t="shared" si="17"/>
        <v>FF  25th year of service</v>
      </c>
      <c r="S64" s="203">
        <f t="shared" si="14"/>
        <v>424.35663226293917</v>
      </c>
      <c r="T64" s="162">
        <f t="shared" si="15"/>
        <v>3.8860000000000001</v>
      </c>
      <c r="U64" s="163">
        <f t="shared" si="16"/>
        <v>5.3040000000000003</v>
      </c>
    </row>
    <row r="65" spans="1:21" ht="17.25" customHeight="1">
      <c r="A65" s="49">
        <f>'January 1, 2021'!A65*1.0175</f>
        <v>486.0822804924909</v>
      </c>
      <c r="B65" s="52" t="s">
        <v>180</v>
      </c>
      <c r="R65" s="94" t="str">
        <f t="shared" si="17"/>
        <v>FF 26th year of service</v>
      </c>
      <c r="S65" s="203">
        <f t="shared" si="14"/>
        <v>486.0822804924909</v>
      </c>
      <c r="T65" s="162">
        <f t="shared" si="15"/>
        <v>4.4509999999999996</v>
      </c>
      <c r="U65" s="163">
        <f t="shared" si="16"/>
        <v>6.0759999999999996</v>
      </c>
    </row>
    <row r="66" spans="1:21">
      <c r="A66" s="41"/>
      <c r="B66" s="41"/>
      <c r="C66" s="41"/>
      <c r="D66" s="41"/>
      <c r="E66" s="41"/>
      <c r="F66" s="41"/>
      <c r="G66" s="41"/>
      <c r="H66" s="41"/>
      <c r="I66" s="41"/>
      <c r="J66" s="54"/>
      <c r="K66" s="54"/>
      <c r="L66" s="54"/>
      <c r="M66" s="54"/>
      <c r="N66" s="44"/>
      <c r="P66" s="41"/>
    </row>
    <row r="67" spans="1:21">
      <c r="A67" s="41"/>
      <c r="B67" s="41"/>
      <c r="C67" s="41"/>
      <c r="D67" s="41"/>
      <c r="E67" s="41"/>
      <c r="F67" s="41"/>
      <c r="G67" s="41"/>
      <c r="H67" s="41"/>
      <c r="I67" s="41"/>
      <c r="J67" s="54"/>
      <c r="K67" s="54"/>
      <c r="L67" s="54"/>
      <c r="M67" s="54"/>
      <c r="N67" s="44"/>
      <c r="P67" s="41"/>
    </row>
    <row r="68" spans="1:21">
      <c r="A68" s="41"/>
      <c r="B68" s="41"/>
      <c r="C68" s="41"/>
      <c r="D68" s="41"/>
      <c r="E68" s="41"/>
      <c r="F68" s="41"/>
      <c r="G68" s="41"/>
      <c r="H68" s="41"/>
      <c r="I68" s="41"/>
      <c r="J68" s="54"/>
      <c r="K68" s="54"/>
      <c r="L68" s="54"/>
      <c r="M68" s="54"/>
      <c r="N68" s="44"/>
      <c r="P68" s="41"/>
    </row>
    <row r="69" spans="1:21">
      <c r="A69" s="41"/>
      <c r="B69" s="41"/>
      <c r="C69" s="41"/>
      <c r="D69" s="41"/>
      <c r="E69" s="41"/>
      <c r="F69" s="41"/>
      <c r="G69" s="41"/>
      <c r="H69" s="41"/>
      <c r="I69" s="41"/>
      <c r="J69" s="54"/>
      <c r="K69" s="54"/>
      <c r="L69" s="54"/>
      <c r="M69" s="54"/>
      <c r="N69" s="44"/>
      <c r="P69" s="41"/>
    </row>
    <row r="70" spans="1:21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44"/>
      <c r="P70" s="41"/>
    </row>
    <row r="71" spans="1:2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41"/>
    </row>
    <row r="72" spans="1:2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41"/>
    </row>
    <row r="73" spans="1:2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41"/>
    </row>
    <row r="74" spans="1:2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41"/>
    </row>
    <row r="75" spans="1:21"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41"/>
    </row>
    <row r="76" spans="1:21">
      <c r="A76" s="41"/>
      <c r="B76" s="52"/>
    </row>
    <row r="77" spans="1:21">
      <c r="A77" s="41"/>
    </row>
    <row r="78" spans="1:21">
      <c r="A78" s="51"/>
    </row>
    <row r="79" spans="1:21">
      <c r="A79" s="51"/>
      <c r="B79" s="288"/>
      <c r="C79" s="288"/>
      <c r="D79" s="288"/>
      <c r="E79" s="288"/>
      <c r="F79" s="288"/>
      <c r="G79" s="288"/>
      <c r="H79" s="288"/>
      <c r="I79" s="288"/>
      <c r="J79" s="288"/>
      <c r="K79" s="288"/>
      <c r="L79" s="288"/>
      <c r="M79" s="288"/>
      <c r="N79" s="288"/>
    </row>
    <row r="80" spans="1:21">
      <c r="A80" s="51"/>
      <c r="B80" s="288"/>
      <c r="C80" s="288"/>
      <c r="D80" s="288"/>
      <c r="E80" s="288"/>
      <c r="F80" s="288"/>
      <c r="G80" s="288"/>
      <c r="H80" s="288"/>
      <c r="I80" s="288"/>
      <c r="J80" s="288"/>
      <c r="K80" s="288"/>
      <c r="L80" s="288"/>
      <c r="M80" s="288"/>
      <c r="N80" s="288"/>
      <c r="O80" s="141"/>
    </row>
    <row r="81" spans="1:15">
      <c r="A81" s="51"/>
      <c r="B81" s="52"/>
      <c r="O81" s="141"/>
    </row>
    <row r="82" spans="1:15">
      <c r="A82" s="51"/>
      <c r="B82" s="52"/>
      <c r="O82" s="141"/>
    </row>
    <row r="83" spans="1:15">
      <c r="A83" s="51"/>
      <c r="B83" s="52"/>
      <c r="O83" s="141"/>
    </row>
    <row r="84" spans="1:15">
      <c r="A84" s="51"/>
      <c r="B84" s="52"/>
      <c r="O84" s="141"/>
    </row>
    <row r="85" spans="1:15">
      <c r="A85" s="51"/>
      <c r="B85" s="52"/>
      <c r="O85" s="141"/>
    </row>
    <row r="86" spans="1:15">
      <c r="A86" s="51"/>
      <c r="B86" s="52"/>
      <c r="O86" s="141"/>
    </row>
    <row r="87" spans="1:15">
      <c r="A87" s="51"/>
      <c r="B87" s="52"/>
      <c r="O87" s="141"/>
    </row>
    <row r="88" spans="1:15">
      <c r="A88" s="51"/>
      <c r="B88" s="52"/>
      <c r="O88" s="141"/>
    </row>
    <row r="89" spans="1:15">
      <c r="A89" s="51"/>
      <c r="B89" s="52"/>
      <c r="O89" s="141"/>
    </row>
    <row r="90" spans="1:15">
      <c r="A90" s="51"/>
      <c r="B90" s="52"/>
      <c r="O90" s="141"/>
    </row>
    <row r="91" spans="1:15">
      <c r="A91" s="51"/>
      <c r="B91" s="52"/>
      <c r="O91" s="141"/>
    </row>
    <row r="92" spans="1:15">
      <c r="A92" s="51"/>
      <c r="B92" s="52"/>
      <c r="O92" s="141"/>
    </row>
    <row r="93" spans="1:15">
      <c r="A93" s="51"/>
      <c r="B93" s="52"/>
      <c r="O93" s="141"/>
    </row>
    <row r="94" spans="1:15">
      <c r="B94" s="52"/>
      <c r="O94" s="141"/>
    </row>
    <row r="95" spans="1:15">
      <c r="B95" s="52"/>
      <c r="O95" s="141"/>
    </row>
    <row r="96" spans="1:15">
      <c r="B96" s="52"/>
    </row>
    <row r="97" spans="2:2">
      <c r="B97" s="52"/>
    </row>
  </sheetData>
  <sheetProtection sheet="1" objects="1" scenarios="1"/>
  <mergeCells count="4">
    <mergeCell ref="B79:N79"/>
    <mergeCell ref="B80:N80"/>
    <mergeCell ref="T23:U23"/>
    <mergeCell ref="F2:L2"/>
  </mergeCells>
  <phoneticPr fontId="3" type="noConversion"/>
  <pageMargins left="0.25" right="0.25" top="0.75" bottom="0.75" header="0.3" footer="0.3"/>
  <pageSetup orientation="landscape" r:id="rId1"/>
  <headerFooter alignWithMargins="0"/>
  <rowBreaks count="2" manualBreakCount="2">
    <brk id="23" max="16383" man="1"/>
    <brk id="50" max="16383" man="1"/>
  </row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131D-2BA3-4086-9543-098B0E78CFB4}">
  <sheetPr codeName="Sheet25"/>
  <dimension ref="A1:AJ101"/>
  <sheetViews>
    <sheetView showGridLines="0" workbookViewId="0">
      <selection activeCell="N15" sqref="N15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8.1328125" style="42" customWidth="1"/>
    <col min="4" max="4" width="25.3984375" style="42" hidden="1" customWidth="1"/>
    <col min="5" max="5" width="10.59765625" style="42" hidden="1" customWidth="1"/>
    <col min="6" max="6" width="6.3984375" style="42" hidden="1" customWidth="1"/>
    <col min="7" max="7" width="6.59765625" style="42" customWidth="1"/>
    <col min="8" max="8" width="10.59765625" style="42" bestFit="1" customWidth="1"/>
    <col min="9" max="11" width="6.59765625" style="42" customWidth="1"/>
    <col min="12" max="12" width="6.59765625" style="42" bestFit="1" customWidth="1"/>
    <col min="13" max="13" width="6.3984375" style="42" customWidth="1"/>
    <col min="14" max="14" width="46.3984375" style="46" customWidth="1"/>
    <col min="15" max="15" width="23.86328125" style="228" hidden="1" customWidth="1"/>
    <col min="16" max="16" width="14.86328125" style="229" hidden="1" customWidth="1"/>
    <col min="17" max="17" width="11.59765625" style="229" hidden="1" customWidth="1"/>
    <col min="18" max="18" width="7.86328125" style="229" hidden="1" customWidth="1"/>
    <col min="19" max="19" width="24.3984375" style="232" hidden="1" customWidth="1"/>
    <col min="20" max="20" width="25.3984375" style="229" hidden="1" customWidth="1"/>
    <col min="21" max="21" width="9.3984375" style="229" hidden="1" customWidth="1"/>
    <col min="22" max="26" width="7.3984375" style="229" hidden="1" customWidth="1"/>
    <col min="27" max="27" width="31.1328125" style="42" hidden="1" customWidth="1"/>
    <col min="28" max="28" width="24.3984375" style="205" hidden="1" customWidth="1"/>
    <col min="29" max="29" width="5.86328125" style="205" hidden="1" customWidth="1"/>
    <col min="30" max="30" width="32.1328125" style="205" hidden="1" customWidth="1"/>
    <col min="31" max="31" width="9.3984375" style="205" hidden="1" customWidth="1"/>
    <col min="32" max="36" width="7.3984375" style="205" hidden="1" customWidth="1"/>
    <col min="37" max="39" width="0" style="42" hidden="1" customWidth="1"/>
    <col min="40" max="16384" width="9.1328125" style="42"/>
  </cols>
  <sheetData>
    <row r="1" spans="1:36" ht="15.75">
      <c r="A1" s="245" t="s">
        <v>140</v>
      </c>
      <c r="B1" s="169"/>
      <c r="C1" s="169"/>
      <c r="D1" s="169"/>
      <c r="E1" s="170"/>
      <c r="F1" s="41"/>
      <c r="G1" s="192"/>
      <c r="H1" s="41"/>
      <c r="O1" s="228" t="s">
        <v>288</v>
      </c>
      <c r="P1" s="229" t="s">
        <v>290</v>
      </c>
      <c r="Q1" s="230" t="s">
        <v>292</v>
      </c>
      <c r="R1" s="231">
        <v>1.0249999999999999</v>
      </c>
    </row>
    <row r="2" spans="1:36" ht="15.75">
      <c r="A2" s="246" t="s">
        <v>305</v>
      </c>
      <c r="B2" s="44"/>
      <c r="C2" s="44"/>
      <c r="D2" s="41"/>
      <c r="E2" s="41"/>
      <c r="F2" s="282" t="s">
        <v>80</v>
      </c>
      <c r="G2" s="282"/>
      <c r="H2" s="282"/>
      <c r="I2" s="282"/>
      <c r="J2" s="282"/>
      <c r="K2" s="282"/>
      <c r="L2" s="282"/>
      <c r="M2" s="41"/>
      <c r="N2" s="44"/>
      <c r="U2" s="229">
        <v>3</v>
      </c>
      <c r="V2" s="229">
        <v>4</v>
      </c>
      <c r="W2" s="229">
        <v>5</v>
      </c>
      <c r="X2" s="229">
        <v>6</v>
      </c>
      <c r="Y2" s="229">
        <v>7</v>
      </c>
      <c r="Z2" s="229">
        <v>8</v>
      </c>
    </row>
    <row r="3" spans="1:36">
      <c r="A3" s="247" t="str">
        <f>"Increase %: "&amp;TEXT(R1-1,"0.00%")</f>
        <v>Increase %: 2.50%</v>
      </c>
      <c r="B3" s="44"/>
      <c r="C3" s="44"/>
      <c r="D3" s="41"/>
      <c r="E3" s="41"/>
      <c r="F3" s="43"/>
      <c r="G3" s="43"/>
      <c r="H3" s="43"/>
      <c r="I3" s="43"/>
      <c r="J3" s="43"/>
      <c r="K3" s="43"/>
      <c r="L3" s="43"/>
      <c r="M3" s="41"/>
      <c r="N3" s="44"/>
    </row>
    <row r="4" spans="1:36">
      <c r="A4" s="50" t="s">
        <v>307</v>
      </c>
      <c r="B4" s="44"/>
      <c r="C4" s="44"/>
      <c r="D4" s="41"/>
      <c r="E4" s="41"/>
      <c r="F4" s="43"/>
      <c r="G4" s="43"/>
      <c r="H4" s="43"/>
      <c r="I4" s="43"/>
      <c r="J4" s="43"/>
      <c r="K4" s="43"/>
      <c r="L4" s="43"/>
      <c r="M4" s="41"/>
      <c r="N4" s="44"/>
    </row>
    <row r="5" spans="1:36" ht="14.65" thickBot="1">
      <c r="A5" s="50"/>
      <c r="B5" s="44"/>
      <c r="C5" s="44"/>
      <c r="D5" s="41"/>
      <c r="E5" s="41"/>
      <c r="F5" s="43"/>
      <c r="G5" s="43"/>
      <c r="H5" s="43"/>
      <c r="I5" s="43"/>
      <c r="J5" s="43"/>
      <c r="K5" s="43"/>
      <c r="L5" s="43"/>
      <c r="M5" s="41"/>
      <c r="N5" s="44"/>
      <c r="O5" s="240" t="s">
        <v>301</v>
      </c>
      <c r="AB5" s="248" t="s">
        <v>302</v>
      </c>
    </row>
    <row r="6" spans="1:36" ht="14.65" thickBot="1">
      <c r="A6" s="43"/>
      <c r="B6" s="44"/>
      <c r="C6" s="44"/>
      <c r="D6" s="41"/>
      <c r="E6" s="41"/>
      <c r="F6" s="43"/>
      <c r="G6" s="283" t="s">
        <v>300</v>
      </c>
      <c r="H6" s="284"/>
      <c r="I6" s="284"/>
      <c r="J6" s="284"/>
      <c r="K6" s="284"/>
      <c r="L6" s="285"/>
      <c r="M6" s="41"/>
      <c r="N6" s="44"/>
    </row>
    <row r="7" spans="1:36" ht="30" customHeight="1" thickBot="1">
      <c r="A7" s="175" t="s">
        <v>137</v>
      </c>
      <c r="B7" s="176" t="s">
        <v>114</v>
      </c>
      <c r="C7" s="176" t="s">
        <v>138</v>
      </c>
      <c r="D7" s="177" t="s">
        <v>4</v>
      </c>
      <c r="E7" s="177" t="s">
        <v>5</v>
      </c>
      <c r="F7" s="249" t="s">
        <v>6</v>
      </c>
      <c r="G7" s="255" t="s">
        <v>7</v>
      </c>
      <c r="H7" s="256" t="s">
        <v>8</v>
      </c>
      <c r="I7" s="256" t="s">
        <v>9</v>
      </c>
      <c r="J7" s="256" t="s">
        <v>10</v>
      </c>
      <c r="K7" s="256" t="s">
        <v>11</v>
      </c>
      <c r="L7" s="257" t="s">
        <v>12</v>
      </c>
      <c r="M7" s="45"/>
      <c r="N7" s="42"/>
      <c r="O7" s="233" t="s">
        <v>285</v>
      </c>
      <c r="P7" s="233" t="s">
        <v>277</v>
      </c>
      <c r="Q7" s="233" t="s">
        <v>138</v>
      </c>
      <c r="R7" s="233" t="s">
        <v>286</v>
      </c>
      <c r="S7" s="233" t="s">
        <v>137</v>
      </c>
      <c r="T7" s="234" t="s">
        <v>279</v>
      </c>
      <c r="U7" s="234" t="s">
        <v>7</v>
      </c>
      <c r="V7" s="234" t="s">
        <v>8</v>
      </c>
      <c r="W7" s="234" t="s">
        <v>9</v>
      </c>
      <c r="X7" s="234" t="s">
        <v>10</v>
      </c>
      <c r="Y7" s="234" t="s">
        <v>11</v>
      </c>
      <c r="Z7" s="234" t="s">
        <v>12</v>
      </c>
      <c r="AB7" s="204" t="s">
        <v>137</v>
      </c>
      <c r="AC7" s="164" t="s">
        <v>138</v>
      </c>
      <c r="AD7" s="161" t="s">
        <v>279</v>
      </c>
      <c r="AE7" s="161" t="s">
        <v>7</v>
      </c>
      <c r="AF7" s="161" t="s">
        <v>8</v>
      </c>
      <c r="AG7" s="161" t="s">
        <v>9</v>
      </c>
      <c r="AH7" s="161" t="s">
        <v>10</v>
      </c>
      <c r="AI7" s="161" t="s">
        <v>11</v>
      </c>
      <c r="AJ7" s="161" t="s">
        <v>12</v>
      </c>
    </row>
    <row r="8" spans="1:36" ht="18.75" customHeight="1">
      <c r="A8" s="179" t="s">
        <v>157</v>
      </c>
      <c r="B8" s="173" t="s">
        <v>115</v>
      </c>
      <c r="C8" s="173" t="str">
        <f>Q8</f>
        <v>CFG 5</v>
      </c>
      <c r="D8" s="174" t="s">
        <v>84</v>
      </c>
      <c r="E8" s="171"/>
      <c r="F8" s="250" t="s">
        <v>17</v>
      </c>
      <c r="G8" s="258">
        <f ca="1">U8*$O8</f>
        <v>1833.6019999999999</v>
      </c>
      <c r="H8" s="259"/>
      <c r="I8" s="259"/>
      <c r="J8" s="259"/>
      <c r="K8" s="259"/>
      <c r="L8" s="260"/>
      <c r="M8" s="45"/>
      <c r="N8" s="42"/>
      <c r="O8" s="235">
        <v>80</v>
      </c>
      <c r="P8" s="236" t="s">
        <v>143</v>
      </c>
      <c r="Q8" s="237" t="s">
        <v>156</v>
      </c>
      <c r="R8" s="237" t="s">
        <v>287</v>
      </c>
      <c r="S8" s="237" t="str">
        <f t="shared" ref="S8:S21" si="0">A8</f>
        <v>04440C</v>
      </c>
      <c r="T8" s="235" t="s">
        <v>84</v>
      </c>
      <c r="U8" s="238" cm="1">
        <f t="array" aca="1" ref="U8" ca="1">IF($R8="Y",VLOOKUP($S8,INDIRECT($P$1),U$2,0)*INDIRECT($Q$1),VLOOKUP($S8,INDIRECT($P$1),U$2,0))</f>
        <v>22.920024999999999</v>
      </c>
      <c r="V8" s="238"/>
      <c r="W8" s="238"/>
      <c r="X8" s="238"/>
      <c r="Y8" s="238"/>
      <c r="Z8" s="238"/>
      <c r="AB8" s="165" t="str">
        <f>S8</f>
        <v>04440C</v>
      </c>
      <c r="AC8" s="165" t="str">
        <f t="shared" ref="AC8:AC21" si="1">C8</f>
        <v>CFG 5</v>
      </c>
      <c r="AD8" s="165" t="str">
        <f>T8</f>
        <v>Fire Cadet</v>
      </c>
      <c r="AE8" s="206">
        <f ca="1">ROUND(U8,3)</f>
        <v>22.92</v>
      </c>
      <c r="AF8" s="165"/>
      <c r="AG8" s="165"/>
      <c r="AH8" s="165"/>
      <c r="AI8" s="165"/>
      <c r="AJ8" s="165"/>
    </row>
    <row r="9" spans="1:36" ht="18.75" customHeight="1">
      <c r="A9" s="180" t="s">
        <v>15</v>
      </c>
      <c r="B9" s="63" t="s">
        <v>115</v>
      </c>
      <c r="C9" s="173" t="str">
        <f t="shared" ref="C9:C21" si="2">Q9</f>
        <v>CFH 1</v>
      </c>
      <c r="D9" s="59" t="s">
        <v>16</v>
      </c>
      <c r="E9" s="59">
        <v>353</v>
      </c>
      <c r="F9" s="251" t="s">
        <v>17</v>
      </c>
      <c r="G9" s="253">
        <f ca="1">U9*$O9</f>
        <v>2619.3858599999999</v>
      </c>
      <c r="H9" s="188">
        <f t="shared" ref="H9:L9" ca="1" si="3">V9*$O9</f>
        <v>2724.1523400000001</v>
      </c>
      <c r="I9" s="188">
        <f t="shared" ca="1" si="3"/>
        <v>2833.1721599999996</v>
      </c>
      <c r="J9" s="188">
        <f t="shared" ca="1" si="3"/>
        <v>2946.4453199999998</v>
      </c>
      <c r="K9" s="188">
        <f t="shared" ca="1" si="3"/>
        <v>3064.3076099999998</v>
      </c>
      <c r="L9" s="189">
        <f t="shared" ca="1" si="3"/>
        <v>3186.8709599999997</v>
      </c>
      <c r="M9" s="47"/>
      <c r="N9" s="42"/>
      <c r="O9" s="235">
        <v>109.2</v>
      </c>
      <c r="P9" s="237" t="s">
        <v>144</v>
      </c>
      <c r="Q9" s="237" t="s">
        <v>235</v>
      </c>
      <c r="R9" s="237" t="s">
        <v>287</v>
      </c>
      <c r="S9" s="237" t="str">
        <f t="shared" si="0"/>
        <v>04450C</v>
      </c>
      <c r="T9" s="235" t="s">
        <v>16</v>
      </c>
      <c r="U9" s="238" cm="1">
        <f t="array" aca="1" ref="U9" ca="1">IF($R9="Y",VLOOKUP($S9,INDIRECT($P$1),U$2,0)*INDIRECT($Q$1),VLOOKUP($S9,INDIRECT($P$1),U$2,0))</f>
        <v>23.98705</v>
      </c>
      <c r="V9" s="238" cm="1">
        <f t="array" aca="1" ref="V9" ca="1">IF($R9="Y",VLOOKUP($S9,INDIRECT($P$1),V$2,0)*INDIRECT($Q$1),VLOOKUP($S9,INDIRECT($P$1),V$2,0))</f>
        <v>24.946449999999999</v>
      </c>
      <c r="W9" s="238" cm="1">
        <f t="array" aca="1" ref="W9" ca="1">IF($R9="Y",VLOOKUP($S9,INDIRECT($P$1),W$2,0)*INDIRECT($Q$1),VLOOKUP($S9,INDIRECT($P$1),W$2,0))</f>
        <v>25.944799999999997</v>
      </c>
      <c r="X9" s="238" cm="1">
        <f t="array" aca="1" ref="X9" ca="1">IF($R9="Y",VLOOKUP($S9,INDIRECT($P$1),X$2,0)*INDIRECT($Q$1),VLOOKUP($S9,INDIRECT($P$1),X$2,0))</f>
        <v>26.982099999999999</v>
      </c>
      <c r="Y9" s="238" cm="1">
        <f t="array" aca="1" ref="Y9" ca="1">IF($R9="Y",VLOOKUP($S9,INDIRECT($P$1),Y$2,0)*INDIRECT($Q$1),VLOOKUP($S9,INDIRECT($P$1),Y$2,0))</f>
        <v>28.061425</v>
      </c>
      <c r="Z9" s="238" cm="1">
        <f t="array" aca="1" ref="Z9" ca="1">IF($R9="Y",VLOOKUP($S9,INDIRECT($P$1),Z$2,0)*INDIRECT($Q$1),VLOOKUP($S9,INDIRECT($P$1),Z$2,0))</f>
        <v>29.183799999999998</v>
      </c>
      <c r="AB9" s="165" t="str">
        <f>S9</f>
        <v>04450C</v>
      </c>
      <c r="AC9" s="165" t="str">
        <f t="shared" si="1"/>
        <v>CFH 1</v>
      </c>
      <c r="AD9" s="165" t="str">
        <f>T9</f>
        <v>Fire Fighter</v>
      </c>
      <c r="AE9" s="206">
        <f ca="1">ROUND(U9,3)</f>
        <v>23.986999999999998</v>
      </c>
      <c r="AF9" s="206">
        <f t="shared" ref="AF9:AJ22" ca="1" si="4">ROUND(V9,3)</f>
        <v>24.946000000000002</v>
      </c>
      <c r="AG9" s="206">
        <f t="shared" ca="1" si="4"/>
        <v>25.945</v>
      </c>
      <c r="AH9" s="206">
        <f t="shared" ca="1" si="4"/>
        <v>26.981999999999999</v>
      </c>
      <c r="AI9" s="206">
        <f t="shared" ca="1" si="4"/>
        <v>28.061</v>
      </c>
      <c r="AJ9" s="206">
        <f t="shared" ca="1" si="4"/>
        <v>29.184000000000001</v>
      </c>
    </row>
    <row r="10" spans="1:36" ht="18.75" customHeight="1">
      <c r="A10" s="180" t="s">
        <v>19</v>
      </c>
      <c r="B10" s="63" t="s">
        <v>115</v>
      </c>
      <c r="C10" s="173" t="str">
        <f t="shared" si="2"/>
        <v>CFI 1</v>
      </c>
      <c r="D10" s="59" t="s">
        <v>20</v>
      </c>
      <c r="E10" s="59">
        <v>353</v>
      </c>
      <c r="F10" s="251" t="s">
        <v>17</v>
      </c>
      <c r="G10" s="253">
        <f t="shared" ref="G10:G11" ca="1" si="5">U10*$O10</f>
        <v>2619.4080000000004</v>
      </c>
      <c r="H10" s="188">
        <f t="shared" ref="H10:H11" ca="1" si="6">V10*$O10</f>
        <v>2724.2039999999993</v>
      </c>
      <c r="I10" s="188">
        <f t="shared" ref="I10:I11" ca="1" si="7">W10*$O10</f>
        <v>2833.1819999999993</v>
      </c>
      <c r="J10" s="188">
        <f t="shared" ref="J10:J11" ca="1" si="8">X10*$O10</f>
        <v>2946.5059999999999</v>
      </c>
      <c r="K10" s="188">
        <f t="shared" ref="K10:K11" ca="1" si="9">Y10*$O10</f>
        <v>3064.3399999999997</v>
      </c>
      <c r="L10" s="189">
        <f t="shared" ref="L10:L11" ca="1" si="10">Z10*$O10</f>
        <v>3186.9299999999994</v>
      </c>
      <c r="M10" s="47"/>
      <c r="N10" s="42"/>
      <c r="O10" s="235">
        <v>80</v>
      </c>
      <c r="P10" s="237" t="s">
        <v>143</v>
      </c>
      <c r="Q10" s="237" t="s">
        <v>234</v>
      </c>
      <c r="R10" s="237" t="s">
        <v>287</v>
      </c>
      <c r="S10" s="237" t="str">
        <f t="shared" si="0"/>
        <v>04451C</v>
      </c>
      <c r="T10" s="235" t="s">
        <v>20</v>
      </c>
      <c r="U10" s="238" cm="1">
        <f t="array" aca="1" ref="U10" ca="1">IF($R10="Y",VLOOKUP($S10,INDIRECT($P$1),U$2,0)*INDIRECT($Q$1),VLOOKUP($S10,INDIRECT($P$1),U$2,0))</f>
        <v>32.742600000000003</v>
      </c>
      <c r="V10" s="238" cm="1">
        <f t="array" aca="1" ref="V10" ca="1">IF($R10="Y",VLOOKUP($S10,INDIRECT($P$1),V$2,0)*INDIRECT($Q$1),VLOOKUP($S10,INDIRECT($P$1),V$2,0))</f>
        <v>34.052549999999989</v>
      </c>
      <c r="W10" s="238" cm="1">
        <f t="array" aca="1" ref="W10" ca="1">IF($R10="Y",VLOOKUP($S10,INDIRECT($P$1),W$2,0)*INDIRECT($Q$1),VLOOKUP($S10,INDIRECT($P$1),W$2,0))</f>
        <v>35.414774999999992</v>
      </c>
      <c r="X10" s="238" cm="1">
        <f t="array" aca="1" ref="X10" ca="1">IF($R10="Y",VLOOKUP($S10,INDIRECT($P$1),X$2,0)*INDIRECT($Q$1),VLOOKUP($S10,INDIRECT($P$1),X$2,0))</f>
        <v>36.831325</v>
      </c>
      <c r="Y10" s="238" cm="1">
        <f t="array" aca="1" ref="Y10" ca="1">IF($R10="Y",VLOOKUP($S10,INDIRECT($P$1),Y$2,0)*INDIRECT($Q$1),VLOOKUP($S10,INDIRECT($P$1),Y$2,0))</f>
        <v>38.304249999999996</v>
      </c>
      <c r="Z10" s="238" cm="1">
        <f t="array" aca="1" ref="Z10" ca="1">IF($R10="Y",VLOOKUP($S10,INDIRECT($P$1),Z$2,0)*INDIRECT($Q$1),VLOOKUP($S10,INDIRECT($P$1),Z$2,0))</f>
        <v>39.836624999999991</v>
      </c>
      <c r="AB10" s="165" t="str">
        <f t="shared" ref="AB10:AB22" si="11">S10</f>
        <v>04451C</v>
      </c>
      <c r="AC10" s="165" t="str">
        <f t="shared" si="1"/>
        <v>CFI 1</v>
      </c>
      <c r="AD10" s="165" t="str">
        <f t="shared" ref="AD10:AD22" si="12">T10</f>
        <v>Fire Fighter (40 hrs.)</v>
      </c>
      <c r="AE10" s="206">
        <f t="shared" ref="AE10:AE22" ca="1" si="13">ROUND(U10,3)</f>
        <v>32.743000000000002</v>
      </c>
      <c r="AF10" s="206">
        <f t="shared" ca="1" si="4"/>
        <v>34.052999999999997</v>
      </c>
      <c r="AG10" s="206">
        <f t="shared" ca="1" si="4"/>
        <v>35.414999999999999</v>
      </c>
      <c r="AH10" s="206">
        <f t="shared" ca="1" si="4"/>
        <v>36.831000000000003</v>
      </c>
      <c r="AI10" s="206">
        <f t="shared" ca="1" si="4"/>
        <v>38.304000000000002</v>
      </c>
      <c r="AJ10" s="206">
        <f t="shared" ca="1" si="4"/>
        <v>39.837000000000003</v>
      </c>
    </row>
    <row r="11" spans="1:36" ht="18.75" customHeight="1">
      <c r="A11" s="180" t="s">
        <v>21</v>
      </c>
      <c r="B11" s="63" t="s">
        <v>115</v>
      </c>
      <c r="C11" s="173" t="str">
        <f t="shared" si="2"/>
        <v>CFF 1</v>
      </c>
      <c r="D11" s="59" t="s">
        <v>22</v>
      </c>
      <c r="E11" s="59"/>
      <c r="F11" s="251" t="s">
        <v>17</v>
      </c>
      <c r="G11" s="253">
        <f t="shared" ca="1" si="5"/>
        <v>2619.3858599999999</v>
      </c>
      <c r="H11" s="188">
        <f t="shared" ca="1" si="6"/>
        <v>2724.1523400000001</v>
      </c>
      <c r="I11" s="188">
        <f t="shared" ca="1" si="7"/>
        <v>2833.1721599999996</v>
      </c>
      <c r="J11" s="188">
        <f t="shared" ca="1" si="8"/>
        <v>2946.4453199999998</v>
      </c>
      <c r="K11" s="188">
        <f t="shared" ca="1" si="9"/>
        <v>3064.3076099999998</v>
      </c>
      <c r="L11" s="189">
        <f t="shared" ca="1" si="10"/>
        <v>3186.8709599999997</v>
      </c>
      <c r="M11" s="47"/>
      <c r="N11" s="42"/>
      <c r="O11" s="235">
        <v>109.2</v>
      </c>
      <c r="P11" s="237" t="s">
        <v>144</v>
      </c>
      <c r="Q11" s="237" t="s">
        <v>148</v>
      </c>
      <c r="R11" s="237" t="s">
        <v>287</v>
      </c>
      <c r="S11" s="237" t="str">
        <f t="shared" si="0"/>
        <v>04388C</v>
      </c>
      <c r="T11" s="235" t="s">
        <v>22</v>
      </c>
      <c r="U11" s="238" cm="1">
        <f t="array" aca="1" ref="U11" ca="1">IF($R11="Y",VLOOKUP($S11,INDIRECT($P$1),U$2,0)*INDIRECT($Q$1),VLOOKUP($S11,INDIRECT($P$1),U$2,0))</f>
        <v>23.98705</v>
      </c>
      <c r="V11" s="238" cm="1">
        <f t="array" aca="1" ref="V11" ca="1">IF($R11="Y",VLOOKUP($S11,INDIRECT($P$1),V$2,0)*INDIRECT($Q$1),VLOOKUP($S11,INDIRECT($P$1),V$2,0))</f>
        <v>24.946449999999999</v>
      </c>
      <c r="W11" s="238" cm="1">
        <f t="array" aca="1" ref="W11" ca="1">IF($R11="Y",VLOOKUP($S11,INDIRECT($P$1),W$2,0)*INDIRECT($Q$1),VLOOKUP($S11,INDIRECT($P$1),W$2,0))</f>
        <v>25.944799999999997</v>
      </c>
      <c r="X11" s="238" cm="1">
        <f t="array" aca="1" ref="X11" ca="1">IF($R11="Y",VLOOKUP($S11,INDIRECT($P$1),X$2,0)*INDIRECT($Q$1),VLOOKUP($S11,INDIRECT($P$1),X$2,0))</f>
        <v>26.982099999999999</v>
      </c>
      <c r="Y11" s="238" cm="1">
        <f t="array" aca="1" ref="Y11" ca="1">IF($R11="Y",VLOOKUP($S11,INDIRECT($P$1),Y$2,0)*INDIRECT($Q$1),VLOOKUP($S11,INDIRECT($P$1),Y$2,0))</f>
        <v>28.061425</v>
      </c>
      <c r="Z11" s="238" cm="1">
        <f t="array" aca="1" ref="Z11" ca="1">IF($R11="Y",VLOOKUP($S11,INDIRECT($P$1),Z$2,0)*INDIRECT($Q$1),VLOOKUP($S11,INDIRECT($P$1),Z$2,0))</f>
        <v>29.183799999999998</v>
      </c>
      <c r="AB11" s="165" t="str">
        <f t="shared" si="11"/>
        <v>04388C</v>
      </c>
      <c r="AC11" s="165" t="str">
        <f t="shared" si="1"/>
        <v>CFF 1</v>
      </c>
      <c r="AD11" s="165" t="str">
        <f t="shared" si="12"/>
        <v>Fire Inspector 1</v>
      </c>
      <c r="AE11" s="206">
        <f t="shared" ca="1" si="13"/>
        <v>23.986999999999998</v>
      </c>
      <c r="AF11" s="206">
        <f t="shared" ca="1" si="4"/>
        <v>24.946000000000002</v>
      </c>
      <c r="AG11" s="206">
        <f t="shared" ca="1" si="4"/>
        <v>25.945</v>
      </c>
      <c r="AH11" s="206">
        <f t="shared" ca="1" si="4"/>
        <v>26.981999999999999</v>
      </c>
      <c r="AI11" s="206">
        <f t="shared" ca="1" si="4"/>
        <v>28.061</v>
      </c>
      <c r="AJ11" s="206">
        <f t="shared" ca="1" si="4"/>
        <v>29.184000000000001</v>
      </c>
    </row>
    <row r="12" spans="1:36" ht="18.75" customHeight="1">
      <c r="A12" s="180" t="s">
        <v>23</v>
      </c>
      <c r="B12" s="63" t="s">
        <v>115</v>
      </c>
      <c r="C12" s="173" t="str">
        <f t="shared" si="2"/>
        <v>CFF 2</v>
      </c>
      <c r="D12" s="59" t="s">
        <v>24</v>
      </c>
      <c r="E12" s="59"/>
      <c r="F12" s="251" t="s">
        <v>17</v>
      </c>
      <c r="G12" s="253">
        <f t="shared" ref="G12:G21" ca="1" si="14">U12*$O12</f>
        <v>3247.0893000000001</v>
      </c>
      <c r="H12" s="188">
        <f t="shared" ref="H12:H21" ca="1" si="15">V12*$O12</f>
        <v>3374.5775699999999</v>
      </c>
      <c r="I12" s="188">
        <f t="shared" ref="I12:I21" ca="1" si="16">W12*$O12</f>
        <v>3579.6333299999997</v>
      </c>
      <c r="J12" s="188"/>
      <c r="K12" s="188"/>
      <c r="L12" s="189"/>
      <c r="M12" s="47"/>
      <c r="N12" s="42"/>
      <c r="O12" s="235">
        <v>109.2</v>
      </c>
      <c r="P12" s="237" t="s">
        <v>144</v>
      </c>
      <c r="Q12" s="237" t="s">
        <v>150</v>
      </c>
      <c r="R12" s="237" t="s">
        <v>287</v>
      </c>
      <c r="S12" s="237" t="str">
        <f t="shared" si="0"/>
        <v>04420C</v>
      </c>
      <c r="T12" s="235" t="s">
        <v>24</v>
      </c>
      <c r="U12" s="238" cm="1">
        <f t="array" aca="1" ref="U12" ca="1">IF($R12="Y",VLOOKUP($S12,INDIRECT($P$1),U$2,0)*INDIRECT($Q$1),VLOOKUP($S12,INDIRECT($P$1),U$2,0))</f>
        <v>29.735250000000001</v>
      </c>
      <c r="V12" s="238" cm="1">
        <f t="array" aca="1" ref="V12" ca="1">IF($R12="Y",VLOOKUP($S12,INDIRECT($P$1),V$2,0)*INDIRECT($Q$1),VLOOKUP($S12,INDIRECT($P$1),V$2,0))</f>
        <v>30.902724999999997</v>
      </c>
      <c r="W12" s="238" cm="1">
        <f t="array" aca="1" ref="W12" ca="1">IF($R12="Y",VLOOKUP($S12,INDIRECT($P$1),W$2,0)*INDIRECT($Q$1),VLOOKUP($S12,INDIRECT($P$1),W$2,0))</f>
        <v>32.780524999999997</v>
      </c>
      <c r="X12" s="238"/>
      <c r="Y12" s="238"/>
      <c r="Z12" s="238"/>
      <c r="AB12" s="165" t="str">
        <f t="shared" si="11"/>
        <v>04420C</v>
      </c>
      <c r="AC12" s="165" t="str">
        <f t="shared" si="1"/>
        <v>CFF 2</v>
      </c>
      <c r="AD12" s="165" t="str">
        <f t="shared" si="12"/>
        <v>Fire Motor Operator</v>
      </c>
      <c r="AE12" s="206">
        <f t="shared" ca="1" si="13"/>
        <v>29.734999999999999</v>
      </c>
      <c r="AF12" s="206">
        <f t="shared" ca="1" si="4"/>
        <v>30.902999999999999</v>
      </c>
      <c r="AG12" s="206">
        <f t="shared" ca="1" si="4"/>
        <v>32.780999999999999</v>
      </c>
      <c r="AH12" s="165"/>
      <c r="AI12" s="165"/>
      <c r="AJ12" s="165"/>
    </row>
    <row r="13" spans="1:36" ht="18.75" customHeight="1">
      <c r="A13" s="180" t="s">
        <v>195</v>
      </c>
      <c r="B13" s="63" t="s">
        <v>115</v>
      </c>
      <c r="C13" s="173" t="str">
        <f t="shared" si="2"/>
        <v>CFG 2</v>
      </c>
      <c r="D13" s="59" t="s">
        <v>26</v>
      </c>
      <c r="E13" s="59"/>
      <c r="F13" s="251" t="s">
        <v>17</v>
      </c>
      <c r="G13" s="253">
        <f t="shared" ca="1" si="14"/>
        <v>3247.1179999999995</v>
      </c>
      <c r="H13" s="188">
        <f t="shared" ca="1" si="15"/>
        <v>3374.6279999999997</v>
      </c>
      <c r="I13" s="188">
        <f t="shared" ca="1" si="16"/>
        <v>3579.6279999999997</v>
      </c>
      <c r="J13" s="188"/>
      <c r="K13" s="188"/>
      <c r="L13" s="189"/>
      <c r="M13" s="47"/>
      <c r="N13" s="42"/>
      <c r="O13" s="235">
        <v>80</v>
      </c>
      <c r="P13" s="237" t="s">
        <v>143</v>
      </c>
      <c r="Q13" s="237" t="s">
        <v>151</v>
      </c>
      <c r="R13" s="237" t="s">
        <v>287</v>
      </c>
      <c r="S13" s="237" t="str">
        <f t="shared" si="0"/>
        <v>04421C</v>
      </c>
      <c r="T13" s="235" t="s">
        <v>26</v>
      </c>
      <c r="U13" s="238" cm="1">
        <f t="array" aca="1" ref="U13" ca="1">IF($R13="Y",VLOOKUP($S13,INDIRECT($P$1),U$2,0)*INDIRECT($Q$1),VLOOKUP($S13,INDIRECT($P$1),U$2,0))</f>
        <v>40.588974999999991</v>
      </c>
      <c r="V13" s="238" cm="1">
        <f t="array" aca="1" ref="V13" ca="1">IF($R13="Y",VLOOKUP($S13,INDIRECT($P$1),V$2,0)*INDIRECT($Q$1),VLOOKUP($S13,INDIRECT($P$1),V$2,0))</f>
        <v>42.182849999999995</v>
      </c>
      <c r="W13" s="238" cm="1">
        <f t="array" aca="1" ref="W13" ca="1">IF($R13="Y",VLOOKUP($S13,INDIRECT($P$1),W$2,0)*INDIRECT($Q$1),VLOOKUP($S13,INDIRECT($P$1),W$2,0))</f>
        <v>44.745349999999995</v>
      </c>
      <c r="X13" s="238"/>
      <c r="Y13" s="238"/>
      <c r="Z13" s="238"/>
      <c r="AB13" s="165" t="str">
        <f t="shared" si="11"/>
        <v>04421C</v>
      </c>
      <c r="AC13" s="165" t="str">
        <f t="shared" si="1"/>
        <v>CFG 2</v>
      </c>
      <c r="AD13" s="165" t="str">
        <f t="shared" si="12"/>
        <v>Fire Motor Operator (40 hrs.)</v>
      </c>
      <c r="AE13" s="206">
        <f t="shared" ca="1" si="13"/>
        <v>40.588999999999999</v>
      </c>
      <c r="AF13" s="206">
        <f t="shared" ca="1" si="4"/>
        <v>42.183</v>
      </c>
      <c r="AG13" s="206">
        <f t="shared" ca="1" si="4"/>
        <v>44.744999999999997</v>
      </c>
      <c r="AH13" s="165"/>
      <c r="AI13" s="165"/>
      <c r="AJ13" s="165"/>
    </row>
    <row r="14" spans="1:36" ht="18.75" customHeight="1">
      <c r="A14" s="180" t="s">
        <v>27</v>
      </c>
      <c r="B14" s="63" t="s">
        <v>115</v>
      </c>
      <c r="C14" s="173" t="str">
        <f t="shared" si="2"/>
        <v>CFF 2</v>
      </c>
      <c r="D14" s="59" t="s">
        <v>28</v>
      </c>
      <c r="E14" s="59"/>
      <c r="F14" s="251" t="s">
        <v>17</v>
      </c>
      <c r="G14" s="253">
        <f t="shared" ca="1" si="14"/>
        <v>3247.0893000000001</v>
      </c>
      <c r="H14" s="188">
        <f t="shared" ca="1" si="15"/>
        <v>3374.5775699999999</v>
      </c>
      <c r="I14" s="188">
        <f t="shared" ca="1" si="16"/>
        <v>3579.6333299999997</v>
      </c>
      <c r="J14" s="188"/>
      <c r="K14" s="188"/>
      <c r="L14" s="189"/>
      <c r="M14" s="47"/>
      <c r="N14" s="42"/>
      <c r="O14" s="235">
        <v>109.2</v>
      </c>
      <c r="P14" s="237" t="s">
        <v>144</v>
      </c>
      <c r="Q14" s="237" t="s">
        <v>150</v>
      </c>
      <c r="R14" s="237" t="s">
        <v>287</v>
      </c>
      <c r="S14" s="237" t="str">
        <f t="shared" si="0"/>
        <v>04389C</v>
      </c>
      <c r="T14" s="235" t="s">
        <v>28</v>
      </c>
      <c r="U14" s="238" cm="1">
        <f t="array" aca="1" ref="U14" ca="1">IF($R14="Y",VLOOKUP($S14,INDIRECT($P$1),U$2,0)*INDIRECT($Q$1),VLOOKUP($S14,INDIRECT($P$1),U$2,0))</f>
        <v>29.735250000000001</v>
      </c>
      <c r="V14" s="238" cm="1">
        <f t="array" aca="1" ref="V14" ca="1">IF($R14="Y",VLOOKUP($S14,INDIRECT($P$1),V$2,0)*INDIRECT($Q$1),VLOOKUP($S14,INDIRECT($P$1),V$2,0))</f>
        <v>30.902724999999997</v>
      </c>
      <c r="W14" s="238" cm="1">
        <f t="array" aca="1" ref="W14" ca="1">IF($R14="Y",VLOOKUP($S14,INDIRECT($P$1),W$2,0)*INDIRECT($Q$1),VLOOKUP($S14,INDIRECT($P$1),W$2,0))</f>
        <v>32.780524999999997</v>
      </c>
      <c r="X14" s="238"/>
      <c r="Y14" s="238"/>
      <c r="Z14" s="238"/>
      <c r="AB14" s="165" t="str">
        <f t="shared" si="11"/>
        <v>04389C</v>
      </c>
      <c r="AC14" s="165" t="str">
        <f t="shared" si="1"/>
        <v>CFF 2</v>
      </c>
      <c r="AD14" s="165" t="str">
        <f t="shared" si="12"/>
        <v>Fire Inspector 2</v>
      </c>
      <c r="AE14" s="206">
        <f t="shared" ca="1" si="13"/>
        <v>29.734999999999999</v>
      </c>
      <c r="AF14" s="206">
        <f t="shared" ca="1" si="4"/>
        <v>30.902999999999999</v>
      </c>
      <c r="AG14" s="206">
        <f t="shared" ca="1" si="4"/>
        <v>32.780999999999999</v>
      </c>
      <c r="AH14" s="165"/>
      <c r="AI14" s="165"/>
      <c r="AJ14" s="165"/>
    </row>
    <row r="15" spans="1:36" ht="18.75" customHeight="1">
      <c r="A15" s="180" t="s">
        <v>29</v>
      </c>
      <c r="B15" s="63" t="s">
        <v>115</v>
      </c>
      <c r="C15" s="173" t="str">
        <f t="shared" si="2"/>
        <v>CFF 3</v>
      </c>
      <c r="D15" s="59" t="s">
        <v>30</v>
      </c>
      <c r="E15" s="59"/>
      <c r="F15" s="251" t="s">
        <v>17</v>
      </c>
      <c r="G15" s="253">
        <f t="shared" ca="1" si="14"/>
        <v>3680.5941899999993</v>
      </c>
      <c r="H15" s="188">
        <f t="shared" ca="1" si="15"/>
        <v>3826.5509099999999</v>
      </c>
      <c r="I15" s="188">
        <f t="shared" ca="1" si="16"/>
        <v>4060.7084699999991</v>
      </c>
      <c r="J15" s="188"/>
      <c r="K15" s="188"/>
      <c r="L15" s="189"/>
      <c r="M15" s="47"/>
      <c r="N15" s="42"/>
      <c r="O15" s="235">
        <v>109.2</v>
      </c>
      <c r="P15" s="237" t="s">
        <v>144</v>
      </c>
      <c r="Q15" s="237" t="s">
        <v>152</v>
      </c>
      <c r="R15" s="237" t="s">
        <v>287</v>
      </c>
      <c r="S15" s="237" t="str">
        <f t="shared" si="0"/>
        <v>04370C</v>
      </c>
      <c r="T15" s="235" t="s">
        <v>30</v>
      </c>
      <c r="U15" s="238" cm="1">
        <f t="array" aca="1" ref="U15" ca="1">IF($R15="Y",VLOOKUP($S15,INDIRECT($P$1),U$2,0)*INDIRECT($Q$1),VLOOKUP($S15,INDIRECT($P$1),U$2,0))</f>
        <v>33.705074999999994</v>
      </c>
      <c r="V15" s="238" cm="1">
        <f t="array" aca="1" ref="V15" ca="1">IF($R15="Y",VLOOKUP($S15,INDIRECT($P$1),V$2,0)*INDIRECT($Q$1),VLOOKUP($S15,INDIRECT($P$1),V$2,0))</f>
        <v>35.041674999999998</v>
      </c>
      <c r="W15" s="238" cm="1">
        <f t="array" aca="1" ref="W15" ca="1">IF($R15="Y",VLOOKUP($S15,INDIRECT($P$1),W$2,0)*INDIRECT($Q$1),VLOOKUP($S15,INDIRECT($P$1),W$2,0))</f>
        <v>37.185974999999992</v>
      </c>
      <c r="X15" s="238"/>
      <c r="Y15" s="238"/>
      <c r="Z15" s="238"/>
      <c r="AB15" s="165" t="str">
        <f t="shared" si="11"/>
        <v>04370C</v>
      </c>
      <c r="AC15" s="165" t="str">
        <f t="shared" si="1"/>
        <v>CFF 3</v>
      </c>
      <c r="AD15" s="165" t="str">
        <f t="shared" si="12"/>
        <v>Fire Captain</v>
      </c>
      <c r="AE15" s="206">
        <f t="shared" ca="1" si="13"/>
        <v>33.704999999999998</v>
      </c>
      <c r="AF15" s="206">
        <f t="shared" ca="1" si="4"/>
        <v>35.042000000000002</v>
      </c>
      <c r="AG15" s="206">
        <f t="shared" ca="1" si="4"/>
        <v>37.186</v>
      </c>
      <c r="AH15" s="165"/>
      <c r="AI15" s="165"/>
      <c r="AJ15" s="165"/>
    </row>
    <row r="16" spans="1:36" ht="18.75" customHeight="1">
      <c r="A16" s="180" t="s">
        <v>31</v>
      </c>
      <c r="B16" s="63" t="s">
        <v>115</v>
      </c>
      <c r="C16" s="173" t="str">
        <f t="shared" si="2"/>
        <v>CFG 3</v>
      </c>
      <c r="D16" s="59" t="s">
        <v>32</v>
      </c>
      <c r="E16" s="59"/>
      <c r="F16" s="251" t="s">
        <v>17</v>
      </c>
      <c r="G16" s="253">
        <f t="shared" ca="1" si="14"/>
        <v>3680.5699999999997</v>
      </c>
      <c r="H16" s="188">
        <f t="shared" ca="1" si="15"/>
        <v>3826.5299999999997</v>
      </c>
      <c r="I16" s="188">
        <f t="shared" ca="1" si="16"/>
        <v>4060.7219999999998</v>
      </c>
      <c r="J16" s="188"/>
      <c r="K16" s="188"/>
      <c r="L16" s="189"/>
      <c r="M16" s="47"/>
      <c r="N16" s="42"/>
      <c r="O16" s="235">
        <v>80</v>
      </c>
      <c r="P16" s="237" t="s">
        <v>143</v>
      </c>
      <c r="Q16" s="237" t="s">
        <v>153</v>
      </c>
      <c r="R16" s="237" t="s">
        <v>287</v>
      </c>
      <c r="S16" s="237" t="str">
        <f t="shared" si="0"/>
        <v>04371C</v>
      </c>
      <c r="T16" s="235" t="s">
        <v>32</v>
      </c>
      <c r="U16" s="238" cm="1">
        <f t="array" aca="1" ref="U16" ca="1">IF($R16="Y",VLOOKUP($S16,INDIRECT($P$1),U$2,0)*INDIRECT($Q$1),VLOOKUP($S16,INDIRECT($P$1),U$2,0))</f>
        <v>46.007124999999995</v>
      </c>
      <c r="V16" s="238" cm="1">
        <f t="array" aca="1" ref="V16" ca="1">IF($R16="Y",VLOOKUP($S16,INDIRECT($P$1),V$2,0)*INDIRECT($Q$1),VLOOKUP($S16,INDIRECT($P$1),V$2,0))</f>
        <v>47.831624999999995</v>
      </c>
      <c r="W16" s="238" cm="1">
        <f t="array" aca="1" ref="W16" ca="1">IF($R16="Y",VLOOKUP($S16,INDIRECT($P$1),W$2,0)*INDIRECT($Q$1),VLOOKUP($S16,INDIRECT($P$1),W$2,0))</f>
        <v>50.759024999999994</v>
      </c>
      <c r="X16" s="238"/>
      <c r="Y16" s="238"/>
      <c r="Z16" s="238"/>
      <c r="AB16" s="165" t="str">
        <f t="shared" si="11"/>
        <v>04371C</v>
      </c>
      <c r="AC16" s="165" t="str">
        <f t="shared" si="1"/>
        <v>CFG 3</v>
      </c>
      <c r="AD16" s="165" t="str">
        <f t="shared" si="12"/>
        <v>Fire Captain (40 hrs.)</v>
      </c>
      <c r="AE16" s="206">
        <f t="shared" ca="1" si="13"/>
        <v>46.006999999999998</v>
      </c>
      <c r="AF16" s="206">
        <f t="shared" ca="1" si="4"/>
        <v>47.832000000000001</v>
      </c>
      <c r="AG16" s="206">
        <f t="shared" ca="1" si="4"/>
        <v>50.759</v>
      </c>
      <c r="AH16" s="165"/>
      <c r="AI16" s="165"/>
      <c r="AJ16" s="165"/>
    </row>
    <row r="17" spans="1:36" ht="18.75" customHeight="1">
      <c r="A17" s="180" t="s">
        <v>33</v>
      </c>
      <c r="B17" s="63" t="s">
        <v>115</v>
      </c>
      <c r="C17" s="173" t="str">
        <f t="shared" si="2"/>
        <v>CFF 3</v>
      </c>
      <c r="D17" s="59" t="s">
        <v>34</v>
      </c>
      <c r="E17" s="59"/>
      <c r="F17" s="251" t="s">
        <v>17</v>
      </c>
      <c r="G17" s="253">
        <f t="shared" ca="1" si="14"/>
        <v>3680.5941899999993</v>
      </c>
      <c r="H17" s="188">
        <f t="shared" ca="1" si="15"/>
        <v>3826.5509099999999</v>
      </c>
      <c r="I17" s="188">
        <f t="shared" ca="1" si="16"/>
        <v>4060.7084699999991</v>
      </c>
      <c r="J17" s="188"/>
      <c r="K17" s="188"/>
      <c r="L17" s="189"/>
      <c r="M17" s="47"/>
      <c r="N17" s="42"/>
      <c r="O17" s="235">
        <v>109.2</v>
      </c>
      <c r="P17" s="237" t="s">
        <v>144</v>
      </c>
      <c r="Q17" s="237" t="s">
        <v>152</v>
      </c>
      <c r="R17" s="237" t="s">
        <v>287</v>
      </c>
      <c r="S17" s="237" t="str">
        <f t="shared" si="0"/>
        <v>04400C</v>
      </c>
      <c r="T17" s="235" t="s">
        <v>34</v>
      </c>
      <c r="U17" s="238" cm="1">
        <f t="array" aca="1" ref="U17" ca="1">IF($R17="Y",VLOOKUP($S17,INDIRECT($P$1),U$2,0)*INDIRECT($Q$1),VLOOKUP($S17,INDIRECT($P$1),U$2,0))</f>
        <v>33.705074999999994</v>
      </c>
      <c r="V17" s="238" cm="1">
        <f t="array" aca="1" ref="V17" ca="1">IF($R17="Y",VLOOKUP($S17,INDIRECT($P$1),V$2,0)*INDIRECT($Q$1),VLOOKUP($S17,INDIRECT($P$1),V$2,0))</f>
        <v>35.041674999999998</v>
      </c>
      <c r="W17" s="238" cm="1">
        <f t="array" aca="1" ref="W17" ca="1">IF($R17="Y",VLOOKUP($S17,INDIRECT($P$1),W$2,0)*INDIRECT($Q$1),VLOOKUP($S17,INDIRECT($P$1),W$2,0))</f>
        <v>37.185974999999992</v>
      </c>
      <c r="X17" s="238"/>
      <c r="Y17" s="238"/>
      <c r="Z17" s="238"/>
      <c r="AB17" s="165" t="str">
        <f t="shared" si="11"/>
        <v>04400C</v>
      </c>
      <c r="AC17" s="165" t="str">
        <f t="shared" si="1"/>
        <v>CFF 3</v>
      </c>
      <c r="AD17" s="165" t="str">
        <f t="shared" si="12"/>
        <v>Fire Investigator</v>
      </c>
      <c r="AE17" s="206">
        <f t="shared" ca="1" si="13"/>
        <v>33.704999999999998</v>
      </c>
      <c r="AF17" s="206">
        <f t="shared" ca="1" si="4"/>
        <v>35.042000000000002</v>
      </c>
      <c r="AG17" s="206">
        <f t="shared" ca="1" si="4"/>
        <v>37.186</v>
      </c>
      <c r="AH17" s="165"/>
      <c r="AI17" s="165"/>
      <c r="AJ17" s="165"/>
    </row>
    <row r="18" spans="1:36" ht="18.75" customHeight="1">
      <c r="A18" s="180" t="s">
        <v>35</v>
      </c>
      <c r="B18" s="63" t="s">
        <v>115</v>
      </c>
      <c r="C18" s="173" t="str">
        <f t="shared" si="2"/>
        <v>CFG 3</v>
      </c>
      <c r="D18" s="59" t="s">
        <v>36</v>
      </c>
      <c r="E18" s="59"/>
      <c r="F18" s="251" t="s">
        <v>17</v>
      </c>
      <c r="G18" s="253">
        <f t="shared" ca="1" si="14"/>
        <v>3680.5699999999997</v>
      </c>
      <c r="H18" s="188">
        <f t="shared" ca="1" si="15"/>
        <v>3826.5299999999997</v>
      </c>
      <c r="I18" s="188">
        <f t="shared" ca="1" si="16"/>
        <v>4060.7219999999998</v>
      </c>
      <c r="J18" s="188"/>
      <c r="K18" s="188"/>
      <c r="L18" s="189"/>
      <c r="M18" s="47"/>
      <c r="N18" s="42"/>
      <c r="O18" s="235">
        <v>80</v>
      </c>
      <c r="P18" s="237" t="s">
        <v>143</v>
      </c>
      <c r="Q18" s="237" t="s">
        <v>153</v>
      </c>
      <c r="R18" s="237" t="s">
        <v>287</v>
      </c>
      <c r="S18" s="237" t="str">
        <f t="shared" si="0"/>
        <v>04401C</v>
      </c>
      <c r="T18" s="235" t="s">
        <v>36</v>
      </c>
      <c r="U18" s="238" cm="1">
        <f t="array" aca="1" ref="U18" ca="1">IF($R18="Y",VLOOKUP($S18,INDIRECT($P$1),U$2,0)*INDIRECT($Q$1),VLOOKUP($S18,INDIRECT($P$1),U$2,0))</f>
        <v>46.007124999999995</v>
      </c>
      <c r="V18" s="238" cm="1">
        <f t="array" aca="1" ref="V18" ca="1">IF($R18="Y",VLOOKUP($S18,INDIRECT($P$1),V$2,0)*INDIRECT($Q$1),VLOOKUP($S18,INDIRECT($P$1),V$2,0))</f>
        <v>47.831624999999995</v>
      </c>
      <c r="W18" s="238" cm="1">
        <f t="array" aca="1" ref="W18" ca="1">IF($R18="Y",VLOOKUP($S18,INDIRECT($P$1),W$2,0)*INDIRECT($Q$1),VLOOKUP($S18,INDIRECT($P$1),W$2,0))</f>
        <v>50.759024999999994</v>
      </c>
      <c r="X18" s="238"/>
      <c r="Y18" s="238"/>
      <c r="Z18" s="238"/>
      <c r="AB18" s="165" t="str">
        <f t="shared" si="11"/>
        <v>04401C</v>
      </c>
      <c r="AC18" s="165" t="str">
        <f t="shared" si="1"/>
        <v>CFG 3</v>
      </c>
      <c r="AD18" s="165" t="str">
        <f t="shared" si="12"/>
        <v>Fire Investigator (40 hrs.)</v>
      </c>
      <c r="AE18" s="206">
        <f t="shared" ca="1" si="13"/>
        <v>46.006999999999998</v>
      </c>
      <c r="AF18" s="206">
        <f t="shared" ca="1" si="4"/>
        <v>47.832000000000001</v>
      </c>
      <c r="AG18" s="206">
        <f t="shared" ca="1" si="4"/>
        <v>50.759</v>
      </c>
      <c r="AH18" s="165"/>
      <c r="AI18" s="165"/>
      <c r="AJ18" s="165"/>
    </row>
    <row r="19" spans="1:36" ht="18.75" customHeight="1">
      <c r="A19" s="180" t="s">
        <v>37</v>
      </c>
      <c r="B19" s="63" t="s">
        <v>115</v>
      </c>
      <c r="C19" s="173" t="str">
        <f t="shared" si="2"/>
        <v>CFF 3</v>
      </c>
      <c r="D19" s="59" t="s">
        <v>38</v>
      </c>
      <c r="E19" s="59"/>
      <c r="F19" s="251" t="s">
        <v>17</v>
      </c>
      <c r="G19" s="253">
        <f t="shared" ca="1" si="14"/>
        <v>3680.5941899999993</v>
      </c>
      <c r="H19" s="188">
        <f t="shared" ca="1" si="15"/>
        <v>3826.5509099999999</v>
      </c>
      <c r="I19" s="188">
        <f t="shared" ca="1" si="16"/>
        <v>4060.7084699999991</v>
      </c>
      <c r="J19" s="188"/>
      <c r="K19" s="188"/>
      <c r="L19" s="189"/>
      <c r="M19" s="47"/>
      <c r="N19" s="42"/>
      <c r="O19" s="235">
        <v>109.2</v>
      </c>
      <c r="P19" s="237" t="s">
        <v>144</v>
      </c>
      <c r="Q19" s="237" t="s">
        <v>152</v>
      </c>
      <c r="R19" s="237" t="s">
        <v>287</v>
      </c>
      <c r="S19" s="237" t="str">
        <f t="shared" si="0"/>
        <v>04390C</v>
      </c>
      <c r="T19" s="235" t="s">
        <v>38</v>
      </c>
      <c r="U19" s="238" cm="1">
        <f t="array" aca="1" ref="U19" ca="1">IF($R19="Y",VLOOKUP($S19,INDIRECT($P$1),U$2,0)*INDIRECT($Q$1),VLOOKUP($S19,INDIRECT($P$1),U$2,0))</f>
        <v>33.705074999999994</v>
      </c>
      <c r="V19" s="238" cm="1">
        <f t="array" aca="1" ref="V19" ca="1">IF($R19="Y",VLOOKUP($S19,INDIRECT($P$1),V$2,0)*INDIRECT($Q$1),VLOOKUP($S19,INDIRECT($P$1),V$2,0))</f>
        <v>35.041674999999998</v>
      </c>
      <c r="W19" s="238" cm="1">
        <f t="array" aca="1" ref="W19" ca="1">IF($R19="Y",VLOOKUP($S19,INDIRECT($P$1),W$2,0)*INDIRECT($Q$1),VLOOKUP($S19,INDIRECT($P$1),W$2,0))</f>
        <v>37.185974999999992</v>
      </c>
      <c r="X19" s="238"/>
      <c r="Y19" s="238"/>
      <c r="Z19" s="238"/>
      <c r="AB19" s="165" t="str">
        <f t="shared" si="11"/>
        <v>04390C</v>
      </c>
      <c r="AC19" s="165" t="str">
        <f t="shared" si="1"/>
        <v>CFF 3</v>
      </c>
      <c r="AD19" s="165" t="str">
        <f t="shared" si="12"/>
        <v>Fire Inspector 3</v>
      </c>
      <c r="AE19" s="206">
        <f t="shared" ca="1" si="13"/>
        <v>33.704999999999998</v>
      </c>
      <c r="AF19" s="206">
        <f t="shared" ca="1" si="4"/>
        <v>35.042000000000002</v>
      </c>
      <c r="AG19" s="206">
        <f t="shared" ca="1" si="4"/>
        <v>37.186</v>
      </c>
      <c r="AH19" s="165"/>
      <c r="AI19" s="165"/>
      <c r="AJ19" s="165"/>
    </row>
    <row r="20" spans="1:36" ht="18.75" customHeight="1">
      <c r="A20" s="180" t="s">
        <v>41</v>
      </c>
      <c r="B20" s="63" t="s">
        <v>115</v>
      </c>
      <c r="C20" s="173" t="str">
        <f t="shared" si="2"/>
        <v>CFF 4</v>
      </c>
      <c r="D20" s="65" t="s">
        <v>113</v>
      </c>
      <c r="E20" s="59"/>
      <c r="F20" s="251" t="s">
        <v>17</v>
      </c>
      <c r="G20" s="253">
        <f t="shared" ca="1" si="14"/>
        <v>3767.0041500000002</v>
      </c>
      <c r="H20" s="188">
        <f t="shared" ca="1" si="15"/>
        <v>3830.8042499999992</v>
      </c>
      <c r="I20" s="188">
        <f t="shared" ca="1" si="16"/>
        <v>3895.9475099999991</v>
      </c>
      <c r="J20" s="188">
        <f t="shared" ref="J20:J21" ca="1" si="17">X20*$O20</f>
        <v>3961.0907699999993</v>
      </c>
      <c r="K20" s="188">
        <f t="shared" ref="K20:K21" ca="1" si="18">Y20*$O20</f>
        <v>4202.7476399999996</v>
      </c>
      <c r="L20" s="189"/>
      <c r="M20" s="47"/>
      <c r="N20" s="42"/>
      <c r="O20" s="235">
        <v>109.2</v>
      </c>
      <c r="P20" s="237" t="s">
        <v>144</v>
      </c>
      <c r="Q20" s="237" t="s">
        <v>154</v>
      </c>
      <c r="R20" s="237" t="s">
        <v>287</v>
      </c>
      <c r="S20" s="237" t="str">
        <f t="shared" si="0"/>
        <v>04436C</v>
      </c>
      <c r="T20" s="239" t="s">
        <v>113</v>
      </c>
      <c r="U20" s="238" cm="1">
        <f t="array" aca="1" ref="U20" ca="1">IF($R20="Y",VLOOKUP($S20,INDIRECT($P$1),U$2,0)*INDIRECT($Q$1),VLOOKUP($S20,INDIRECT($P$1),U$2,0))</f>
        <v>34.496375</v>
      </c>
      <c r="V20" s="238" cm="1">
        <f t="array" aca="1" ref="V20" ca="1">IF($R20="Y",VLOOKUP($S20,INDIRECT($P$1),V$2,0)*INDIRECT($Q$1),VLOOKUP($S20,INDIRECT($P$1),V$2,0))</f>
        <v>35.080624999999991</v>
      </c>
      <c r="W20" s="238" cm="1">
        <f t="array" aca="1" ref="W20" ca="1">IF($R20="Y",VLOOKUP($S20,INDIRECT($P$1),W$2,0)*INDIRECT($Q$1),VLOOKUP($S20,INDIRECT($P$1),W$2,0))</f>
        <v>35.677174999999991</v>
      </c>
      <c r="X20" s="238" cm="1">
        <f t="array" aca="1" ref="X20" ca="1">IF($R20="Y",VLOOKUP($S20,INDIRECT($P$1),X$2,0)*INDIRECT($Q$1),VLOOKUP($S20,INDIRECT($P$1),X$2,0))</f>
        <v>36.273724999999992</v>
      </c>
      <c r="Y20" s="238" cm="1">
        <f t="array" aca="1" ref="Y20" ca="1">IF($R20="Y",VLOOKUP($S20,INDIRECT($P$1),Y$2,0)*INDIRECT($Q$1),VLOOKUP($S20,INDIRECT($P$1),Y$2,0))</f>
        <v>38.486699999999992</v>
      </c>
      <c r="Z20" s="238"/>
      <c r="AB20" s="165" t="str">
        <f t="shared" si="11"/>
        <v>04436C</v>
      </c>
      <c r="AC20" s="165" t="str">
        <f t="shared" si="1"/>
        <v>CFF 4</v>
      </c>
      <c r="AD20" s="165" t="str">
        <f t="shared" si="12"/>
        <v xml:space="preserve">Fire Staff Captain </v>
      </c>
      <c r="AE20" s="206">
        <f t="shared" ca="1" si="13"/>
        <v>34.496000000000002</v>
      </c>
      <c r="AF20" s="206">
        <f t="shared" ca="1" si="4"/>
        <v>35.081000000000003</v>
      </c>
      <c r="AG20" s="206">
        <f t="shared" ca="1" si="4"/>
        <v>35.677</v>
      </c>
      <c r="AH20" s="206">
        <f t="shared" ca="1" si="4"/>
        <v>36.274000000000001</v>
      </c>
      <c r="AI20" s="165"/>
      <c r="AJ20" s="165"/>
    </row>
    <row r="21" spans="1:36" ht="18.75" customHeight="1" thickBot="1">
      <c r="A21" s="181" t="s">
        <v>39</v>
      </c>
      <c r="B21" s="182" t="s">
        <v>115</v>
      </c>
      <c r="C21" s="182" t="str">
        <f t="shared" si="2"/>
        <v>CFG 4</v>
      </c>
      <c r="D21" s="183" t="s">
        <v>42</v>
      </c>
      <c r="E21" s="184"/>
      <c r="F21" s="252" t="s">
        <v>17</v>
      </c>
      <c r="G21" s="254">
        <f t="shared" ca="1" si="14"/>
        <v>3766.9979999999996</v>
      </c>
      <c r="H21" s="190">
        <f t="shared" ca="1" si="15"/>
        <v>3830.7939999999999</v>
      </c>
      <c r="I21" s="190">
        <f t="shared" ca="1" si="16"/>
        <v>3895.9839999999995</v>
      </c>
      <c r="J21" s="190">
        <f t="shared" ca="1" si="17"/>
        <v>3961.0919999999992</v>
      </c>
      <c r="K21" s="190">
        <f t="shared" ca="1" si="18"/>
        <v>4202.7459999999992</v>
      </c>
      <c r="L21" s="191"/>
      <c r="M21" s="47"/>
      <c r="N21" s="42"/>
      <c r="O21" s="235">
        <v>80</v>
      </c>
      <c r="P21" s="237" t="s">
        <v>143</v>
      </c>
      <c r="Q21" s="237" t="s">
        <v>155</v>
      </c>
      <c r="R21" s="237" t="s">
        <v>287</v>
      </c>
      <c r="S21" s="237" t="str">
        <f t="shared" si="0"/>
        <v>04435C</v>
      </c>
      <c r="T21" s="235" t="s">
        <v>42</v>
      </c>
      <c r="U21" s="238" cm="1">
        <f t="array" aca="1" ref="U21" ca="1">IF($R21="Y",VLOOKUP($S21,INDIRECT($P$1),U$2,0)*INDIRECT($Q$1),VLOOKUP($S21,INDIRECT($P$1),U$2,0))</f>
        <v>47.087474999999998</v>
      </c>
      <c r="V21" s="238" cm="1">
        <f t="array" aca="1" ref="V21" ca="1">IF($R21="Y",VLOOKUP($S21,INDIRECT($P$1),V$2,0)*INDIRECT($Q$1),VLOOKUP($S21,INDIRECT($P$1),V$2,0))</f>
        <v>47.884924999999996</v>
      </c>
      <c r="W21" s="238" cm="1">
        <f t="array" aca="1" ref="W21" ca="1">IF($R21="Y",VLOOKUP($S21,INDIRECT($P$1),W$2,0)*INDIRECT($Q$1),VLOOKUP($S21,INDIRECT($P$1),W$2,0))</f>
        <v>48.699799999999996</v>
      </c>
      <c r="X21" s="238" cm="1">
        <f t="array" aca="1" ref="X21" ca="1">IF($R21="Y",VLOOKUP($S21,INDIRECT($P$1),X$2,0)*INDIRECT($Q$1),VLOOKUP($S21,INDIRECT($P$1),X$2,0))</f>
        <v>49.513649999999991</v>
      </c>
      <c r="Y21" s="238" cm="1">
        <f t="array" aca="1" ref="Y21" ca="1">IF($R21="Y",VLOOKUP($S21,INDIRECT($P$1),Y$2,0)*INDIRECT($Q$1),VLOOKUP($S21,INDIRECT($P$1),Y$2,0))</f>
        <v>52.534324999999995</v>
      </c>
      <c r="Z21" s="238"/>
      <c r="AB21" s="165" t="str">
        <f t="shared" si="11"/>
        <v>04435C</v>
      </c>
      <c r="AC21" s="165" t="str">
        <f t="shared" si="1"/>
        <v>CFG 4</v>
      </c>
      <c r="AD21" s="165" t="str">
        <f t="shared" si="12"/>
        <v>Fire Staff Captain (40 hrs.)</v>
      </c>
      <c r="AE21" s="206">
        <f t="shared" ca="1" si="13"/>
        <v>47.087000000000003</v>
      </c>
      <c r="AF21" s="206">
        <f t="shared" ca="1" si="4"/>
        <v>47.884999999999998</v>
      </c>
      <c r="AG21" s="206">
        <f t="shared" ca="1" si="4"/>
        <v>48.7</v>
      </c>
      <c r="AH21" s="206">
        <f t="shared" ca="1" si="4"/>
        <v>49.514000000000003</v>
      </c>
      <c r="AI21" s="165"/>
      <c r="AJ21" s="165"/>
    </row>
    <row r="22" spans="1:36" ht="18.75" customHeight="1">
      <c r="A22"/>
      <c r="B22"/>
      <c r="C22"/>
      <c r="D22"/>
      <c r="E22"/>
      <c r="F22"/>
      <c r="G22"/>
      <c r="H22"/>
      <c r="I22"/>
      <c r="J22"/>
      <c r="K22"/>
      <c r="L22"/>
      <c r="M22" s="47"/>
      <c r="N22" s="42"/>
      <c r="O22" s="235">
        <v>109.2</v>
      </c>
      <c r="P22" s="237" t="s">
        <v>284</v>
      </c>
      <c r="Q22" s="237" t="s">
        <v>235</v>
      </c>
      <c r="R22" s="237" t="s">
        <v>287</v>
      </c>
      <c r="S22" s="237" t="s">
        <v>280</v>
      </c>
      <c r="T22" s="235" t="s">
        <v>281</v>
      </c>
      <c r="U22" s="238" cm="1">
        <f t="array" aca="1" ref="U22" ca="1">IF($R22="Y",VLOOKUP($S22,INDIRECT($P$1),U$2,0)*INDIRECT($Q$1),VLOOKUP($S22,INDIRECT($P$1),U$2,0))</f>
        <v>23.98705</v>
      </c>
      <c r="V22" s="238" cm="1">
        <f t="array" aca="1" ref="V22" ca="1">IF($R22="Y",VLOOKUP($S22,INDIRECT($P$1),V$2,0)*INDIRECT($Q$1),VLOOKUP($S22,INDIRECT($P$1),V$2,0))</f>
        <v>24.946449999999999</v>
      </c>
      <c r="W22" s="238" cm="1">
        <f t="array" aca="1" ref="W22" ca="1">IF($R22="Y",VLOOKUP($S22,INDIRECT($P$1),W$2,0)*INDIRECT($Q$1),VLOOKUP($S22,INDIRECT($P$1),W$2,0))</f>
        <v>25.944799999999997</v>
      </c>
      <c r="X22" s="238" cm="1">
        <f t="array" aca="1" ref="X22" ca="1">IF($R22="Y",VLOOKUP($S22,INDIRECT($P$1),X$2,0)*INDIRECT($Q$1),VLOOKUP($S22,INDIRECT($P$1),X$2,0))</f>
        <v>26.982099999999999</v>
      </c>
      <c r="Y22" s="238" cm="1">
        <f t="array" aca="1" ref="Y22" ca="1">IF($R22="Y",VLOOKUP($S22,INDIRECT($P$1),Y$2,0)*INDIRECT($Q$1),VLOOKUP($S22,INDIRECT($P$1),Y$2,0))</f>
        <v>28.061425</v>
      </c>
      <c r="Z22" s="238" cm="1">
        <f t="array" aca="1" ref="Z22" ca="1">IF($R22="Y",VLOOKUP($S22,INDIRECT($P$1),Z$2,0)*INDIRECT($Q$1),VLOOKUP($S22,INDIRECT($P$1),Z$2,0))</f>
        <v>29.183799999999998</v>
      </c>
      <c r="AA22" s="42" t="s">
        <v>283</v>
      </c>
      <c r="AB22" s="165" t="str">
        <f t="shared" si="11"/>
        <v>04452C</v>
      </c>
      <c r="AC22" s="165" t="str">
        <f>Q22</f>
        <v>CFH 1</v>
      </c>
      <c r="AD22" s="165" t="str">
        <f t="shared" si="12"/>
        <v>Firerighter Bell Curve-C</v>
      </c>
      <c r="AE22" s="206">
        <f t="shared" ca="1" si="13"/>
        <v>23.986999999999998</v>
      </c>
      <c r="AF22" s="206">
        <f t="shared" ca="1" si="4"/>
        <v>24.946000000000002</v>
      </c>
      <c r="AG22" s="206">
        <f t="shared" ca="1" si="4"/>
        <v>25.945</v>
      </c>
      <c r="AH22" s="206">
        <f t="shared" ca="1" si="4"/>
        <v>26.981999999999999</v>
      </c>
      <c r="AI22" s="206">
        <f t="shared" ca="1" si="4"/>
        <v>28.061</v>
      </c>
      <c r="AJ22" s="206">
        <f t="shared" ca="1" si="4"/>
        <v>29.184000000000001</v>
      </c>
    </row>
    <row r="23" spans="1:36" ht="27.75" customHeight="1">
      <c r="A23" s="41" t="s">
        <v>303</v>
      </c>
      <c r="C23" s="46"/>
      <c r="G23" s="46"/>
      <c r="H23" s="46"/>
      <c r="I23" s="46"/>
      <c r="J23" s="46"/>
      <c r="K23" s="46"/>
      <c r="L23" s="46"/>
      <c r="M23" s="46"/>
      <c r="AD23" s="205" t="s">
        <v>299</v>
      </c>
    </row>
    <row r="24" spans="1:36" ht="17.25" customHeight="1">
      <c r="A24" s="50" t="s">
        <v>50</v>
      </c>
      <c r="C24" s="46"/>
      <c r="G24" s="46"/>
      <c r="H24" s="46"/>
      <c r="I24" s="46"/>
      <c r="J24" s="46"/>
      <c r="K24" s="46"/>
      <c r="L24" s="46"/>
      <c r="M24" s="46"/>
    </row>
    <row r="25" spans="1:36" ht="17.25" customHeight="1">
      <c r="A25" s="42" t="s">
        <v>51</v>
      </c>
      <c r="C25" s="46"/>
      <c r="G25" s="46"/>
      <c r="H25" s="46"/>
      <c r="I25" s="46"/>
      <c r="J25" s="46"/>
      <c r="K25" s="46"/>
      <c r="L25" s="46"/>
      <c r="M25" s="46"/>
    </row>
    <row r="26" spans="1:36" ht="17.25" customHeight="1">
      <c r="A26" s="50" t="s">
        <v>52</v>
      </c>
      <c r="B26" s="46"/>
      <c r="C26" s="46"/>
    </row>
    <row r="27" spans="1:36" ht="17.25" customHeight="1">
      <c r="A27" s="50"/>
      <c r="B27" s="46"/>
      <c r="C27" s="46"/>
      <c r="P27" s="228"/>
      <c r="Q27" s="228"/>
      <c r="R27" s="228"/>
      <c r="S27" s="240"/>
      <c r="U27" s="302" t="s">
        <v>278</v>
      </c>
      <c r="V27" s="303"/>
      <c r="W27" s="228"/>
    </row>
    <row r="28" spans="1:36" ht="27.75" customHeight="1">
      <c r="A28" s="41" t="s">
        <v>136</v>
      </c>
      <c r="B28" s="42" t="s">
        <v>160</v>
      </c>
      <c r="P28" s="228"/>
      <c r="Q28" s="228"/>
      <c r="R28" s="228"/>
      <c r="S28" s="240"/>
      <c r="U28" s="234" t="s">
        <v>230</v>
      </c>
      <c r="V28" s="234" t="s">
        <v>231</v>
      </c>
      <c r="W28" s="228"/>
      <c r="AB28" s="207">
        <f t="shared" ref="AB28:AB69" si="19">S28</f>
        <v>0</v>
      </c>
      <c r="AC28" s="165"/>
      <c r="AD28" s="165"/>
      <c r="AE28" s="208" t="str">
        <f>U28</f>
        <v>CFF/109.2</v>
      </c>
      <c r="AF28" s="208" t="str">
        <f>V28</f>
        <v>CFG/80</v>
      </c>
    </row>
    <row r="29" spans="1:36" ht="17.25" customHeight="1">
      <c r="A29" s="56">
        <f t="shared" ref="A29:A47" ca="1" si="20">T29</f>
        <v>17.737620951011468</v>
      </c>
      <c r="B29" s="52" t="s">
        <v>161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140"/>
      <c r="P29" s="228"/>
      <c r="Q29" s="228"/>
      <c r="R29" s="237" t="s">
        <v>287</v>
      </c>
      <c r="S29" s="270" t="str">
        <f t="shared" ref="S29:S47" si="21">"Non FF "&amp;B29</f>
        <v>Non FF  7th year of service</v>
      </c>
      <c r="T29" s="266" cm="1">
        <f t="array" aca="1" ref="T29" ca="1">IF($R29="Y",VLOOKUP(S29,INDIRECT($P$1),2,0)*INDIRECT($Q$1),VLOOKUP(S29,INDIRECT($P$1),2,0))</f>
        <v>17.737620951011468</v>
      </c>
      <c r="U29" s="238">
        <f ca="1">T29/109.2</f>
        <v>0.1624324262913138</v>
      </c>
      <c r="V29" s="238">
        <f ca="1">T29/80</f>
        <v>0.22172026188764335</v>
      </c>
      <c r="W29" s="242"/>
      <c r="AB29" s="165" t="str">
        <f t="shared" si="19"/>
        <v>Non FF  7th year of service</v>
      </c>
      <c r="AC29" s="165"/>
      <c r="AD29" s="165"/>
      <c r="AE29" s="206">
        <f t="shared" ref="AE29:AF44" ca="1" si="22">ROUND(U29,3)</f>
        <v>0.16200000000000001</v>
      </c>
      <c r="AF29" s="206">
        <f t="shared" ca="1" si="22"/>
        <v>0.222</v>
      </c>
    </row>
    <row r="30" spans="1:36" ht="17.25" customHeight="1">
      <c r="A30" s="56">
        <f t="shared" ca="1" si="20"/>
        <v>25.157279388035803</v>
      </c>
      <c r="B30" s="52" t="s">
        <v>162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40"/>
      <c r="P30" s="228"/>
      <c r="Q30" s="228"/>
      <c r="R30" s="237" t="s">
        <v>287</v>
      </c>
      <c r="S30" s="270" t="str">
        <f t="shared" si="21"/>
        <v>Non FF  8th year of service</v>
      </c>
      <c r="T30" s="266" cm="1">
        <f t="array" aca="1" ref="T30" ca="1">IF($R30="Y",VLOOKUP(S30,INDIRECT($P$1),2,0)*INDIRECT($Q$1),VLOOKUP(S30,INDIRECT($P$1),2,0))</f>
        <v>25.157279388035803</v>
      </c>
      <c r="U30" s="238">
        <f t="shared" ref="U30:U47" ca="1" si="23">T30/109.2</f>
        <v>0.23037801637395425</v>
      </c>
      <c r="V30" s="238">
        <f t="shared" ref="V30:V47" ca="1" si="24">T30/80</f>
        <v>0.31446599235044753</v>
      </c>
      <c r="W30" s="242"/>
      <c r="Y30" s="243"/>
      <c r="AB30" s="165" t="str">
        <f t="shared" si="19"/>
        <v>Non FF  8th year of service</v>
      </c>
      <c r="AC30" s="165"/>
      <c r="AD30" s="165"/>
      <c r="AE30" s="206">
        <f t="shared" ca="1" si="22"/>
        <v>0.23</v>
      </c>
      <c r="AF30" s="206">
        <f t="shared" ca="1" si="22"/>
        <v>0.314</v>
      </c>
    </row>
    <row r="31" spans="1:36" ht="17.25" customHeight="1">
      <c r="A31" s="56">
        <f t="shared" ca="1" si="20"/>
        <v>32.576937825060241</v>
      </c>
      <c r="B31" s="52" t="s">
        <v>163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140"/>
      <c r="P31" s="228"/>
      <c r="Q31" s="228"/>
      <c r="R31" s="237" t="s">
        <v>287</v>
      </c>
      <c r="S31" s="270" t="str">
        <f t="shared" si="21"/>
        <v>Non FF  9th year of service</v>
      </c>
      <c r="T31" s="266" cm="1">
        <f t="array" aca="1" ref="T31" ca="1">IF($R31="Y",VLOOKUP(S31,INDIRECT($P$1),2,0)*INDIRECT($Q$1),VLOOKUP(S31,INDIRECT($P$1),2,0))</f>
        <v>32.576937825060241</v>
      </c>
      <c r="U31" s="238">
        <f t="shared" ca="1" si="23"/>
        <v>0.29832360645659561</v>
      </c>
      <c r="V31" s="238">
        <f t="shared" ca="1" si="24"/>
        <v>0.40721172281325302</v>
      </c>
      <c r="W31" s="242"/>
      <c r="Y31" s="243"/>
      <c r="AB31" s="165" t="str">
        <f t="shared" si="19"/>
        <v>Non FF  9th year of service</v>
      </c>
      <c r="AC31" s="165"/>
      <c r="AD31" s="165"/>
      <c r="AE31" s="206">
        <f t="shared" ca="1" si="22"/>
        <v>0.29799999999999999</v>
      </c>
      <c r="AF31" s="206">
        <f t="shared" ca="1" si="22"/>
        <v>0.40699999999999997</v>
      </c>
    </row>
    <row r="32" spans="1:36" ht="17.25" customHeight="1">
      <c r="A32" s="56">
        <f t="shared" ca="1" si="20"/>
        <v>39.996596262084687</v>
      </c>
      <c r="B32" s="52" t="s">
        <v>164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40"/>
      <c r="P32" s="228"/>
      <c r="Q32" s="228"/>
      <c r="R32" s="237" t="s">
        <v>287</v>
      </c>
      <c r="S32" s="270" t="str">
        <f t="shared" si="21"/>
        <v>Non FF  10th year of service</v>
      </c>
      <c r="T32" s="266" cm="1">
        <f t="array" aca="1" ref="T32" ca="1">IF($R32="Y",VLOOKUP(S32,INDIRECT($P$1),2,0)*INDIRECT($Q$1),VLOOKUP(S32,INDIRECT($P$1),2,0))</f>
        <v>39.996596262084687</v>
      </c>
      <c r="U32" s="238">
        <f t="shared" ca="1" si="23"/>
        <v>0.36626919653923706</v>
      </c>
      <c r="V32" s="238">
        <f t="shared" ca="1" si="24"/>
        <v>0.49995745327605856</v>
      </c>
      <c r="W32" s="242"/>
      <c r="Y32" s="243"/>
      <c r="AB32" s="165" t="str">
        <f t="shared" si="19"/>
        <v>Non FF  10th year of service</v>
      </c>
      <c r="AC32" s="165"/>
      <c r="AD32" s="165"/>
      <c r="AE32" s="206">
        <f t="shared" ca="1" si="22"/>
        <v>0.36599999999999999</v>
      </c>
      <c r="AF32" s="206">
        <f t="shared" ca="1" si="22"/>
        <v>0.5</v>
      </c>
    </row>
    <row r="33" spans="1:32" ht="17.25" customHeight="1">
      <c r="A33" s="56">
        <f t="shared" ca="1" si="20"/>
        <v>47.416254699109032</v>
      </c>
      <c r="B33" s="52" t="s">
        <v>165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40"/>
      <c r="P33" s="228"/>
      <c r="Q33" s="228"/>
      <c r="R33" s="237" t="s">
        <v>287</v>
      </c>
      <c r="S33" s="270" t="str">
        <f t="shared" si="21"/>
        <v>Non FF  11th year of service</v>
      </c>
      <c r="T33" s="266" cm="1">
        <f t="array" aca="1" ref="T33" ca="1">IF($R33="Y",VLOOKUP(S33,INDIRECT($P$1),2,0)*INDIRECT($Q$1),VLOOKUP(S33,INDIRECT($P$1),2,0))</f>
        <v>47.416254699109032</v>
      </c>
      <c r="U33" s="238">
        <f t="shared" ca="1" si="23"/>
        <v>0.43421478662187757</v>
      </c>
      <c r="V33" s="238">
        <f t="shared" ca="1" si="24"/>
        <v>0.59270318373886288</v>
      </c>
      <c r="W33" s="242"/>
      <c r="Y33" s="243"/>
      <c r="AB33" s="165" t="str">
        <f t="shared" si="19"/>
        <v>Non FF  11th year of service</v>
      </c>
      <c r="AC33" s="165"/>
      <c r="AD33" s="165"/>
      <c r="AE33" s="206">
        <f t="shared" ca="1" si="22"/>
        <v>0.434</v>
      </c>
      <c r="AF33" s="206">
        <f t="shared" ca="1" si="22"/>
        <v>0.59299999999999997</v>
      </c>
    </row>
    <row r="34" spans="1:32" ht="17.25" customHeight="1">
      <c r="A34" s="56">
        <f t="shared" ca="1" si="20"/>
        <v>143.30664508541884</v>
      </c>
      <c r="B34" s="52" t="s">
        <v>166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40"/>
      <c r="P34" s="228"/>
      <c r="Q34" s="228"/>
      <c r="R34" s="237" t="s">
        <v>287</v>
      </c>
      <c r="S34" s="270" t="str">
        <f t="shared" si="21"/>
        <v>Non FF  12th year of service</v>
      </c>
      <c r="T34" s="266" cm="1">
        <f t="array" aca="1" ref="T34" ca="1">IF($R34="Y",VLOOKUP(S34,INDIRECT($P$1),2,0)*INDIRECT($Q$1),VLOOKUP(S34,INDIRECT($P$1),2,0))</f>
        <v>143.30664508541884</v>
      </c>
      <c r="U34" s="238">
        <f t="shared" ca="1" si="23"/>
        <v>1.3123319147016377</v>
      </c>
      <c r="V34" s="238">
        <f t="shared" ca="1" si="24"/>
        <v>1.7913330635677354</v>
      </c>
      <c r="W34" s="242"/>
      <c r="Y34" s="243"/>
      <c r="AB34" s="165" t="str">
        <f t="shared" si="19"/>
        <v>Non FF  12th year of service</v>
      </c>
      <c r="AC34" s="165"/>
      <c r="AD34" s="165"/>
      <c r="AE34" s="206">
        <f t="shared" ca="1" si="22"/>
        <v>1.3120000000000001</v>
      </c>
      <c r="AF34" s="206">
        <f t="shared" ca="1" si="22"/>
        <v>1.7909999999999999</v>
      </c>
    </row>
    <row r="35" spans="1:32" ht="17.25" customHeight="1">
      <c r="A35" s="56">
        <f t="shared" ca="1" si="20"/>
        <v>151.36393041937487</v>
      </c>
      <c r="B35" s="52" t="s">
        <v>167</v>
      </c>
      <c r="P35" s="228"/>
      <c r="Q35" s="228"/>
      <c r="R35" s="237" t="s">
        <v>287</v>
      </c>
      <c r="S35" s="270" t="str">
        <f t="shared" si="21"/>
        <v>Non FF  13th year of service</v>
      </c>
      <c r="T35" s="266" cm="1">
        <f t="array" aca="1" ref="T35" ca="1">IF($R35="Y",VLOOKUP(S35,INDIRECT($P$1),2,0)*INDIRECT($Q$1),VLOOKUP(S35,INDIRECT($P$1),2,0))</f>
        <v>151.36393041937487</v>
      </c>
      <c r="U35" s="238">
        <f t="shared" ca="1" si="23"/>
        <v>1.3861165789320042</v>
      </c>
      <c r="V35" s="238">
        <f t="shared" ca="1" si="24"/>
        <v>1.8920491302421858</v>
      </c>
      <c r="W35" s="242"/>
      <c r="Y35" s="243"/>
      <c r="AB35" s="165" t="str">
        <f t="shared" si="19"/>
        <v>Non FF  13th year of service</v>
      </c>
      <c r="AC35" s="165"/>
      <c r="AD35" s="165"/>
      <c r="AE35" s="206">
        <f t="shared" ca="1" si="22"/>
        <v>1.3859999999999999</v>
      </c>
      <c r="AF35" s="206">
        <f t="shared" ca="1" si="22"/>
        <v>1.8919999999999999</v>
      </c>
    </row>
    <row r="36" spans="1:32" ht="17.25" customHeight="1">
      <c r="A36" s="56">
        <f t="shared" ca="1" si="20"/>
        <v>159.40672423294589</v>
      </c>
      <c r="B36" s="52" t="s">
        <v>168</v>
      </c>
      <c r="P36" s="228"/>
      <c r="Q36" s="228"/>
      <c r="R36" s="237" t="s">
        <v>287</v>
      </c>
      <c r="S36" s="270" t="str">
        <f t="shared" si="21"/>
        <v>Non FF  14th year of service</v>
      </c>
      <c r="T36" s="266" cm="1">
        <f t="array" aca="1" ref="T36" ca="1">IF($R36="Y",VLOOKUP(S36,INDIRECT($P$1),2,0)*INDIRECT($Q$1),VLOOKUP(S36,INDIRECT($P$1),2,0))</f>
        <v>159.40672423294589</v>
      </c>
      <c r="U36" s="238">
        <f t="shared" ca="1" si="23"/>
        <v>1.4597685369317388</v>
      </c>
      <c r="V36" s="238">
        <f t="shared" ca="1" si="24"/>
        <v>1.9925840529118237</v>
      </c>
      <c r="W36" s="242"/>
      <c r="Y36" s="243"/>
      <c r="AB36" s="165" t="str">
        <f t="shared" si="19"/>
        <v>Non FF  14th year of service</v>
      </c>
      <c r="AC36" s="165"/>
      <c r="AD36" s="165"/>
      <c r="AE36" s="206">
        <f t="shared" ca="1" si="22"/>
        <v>1.46</v>
      </c>
      <c r="AF36" s="206">
        <f t="shared" ca="1" si="22"/>
        <v>1.9930000000000001</v>
      </c>
    </row>
    <row r="37" spans="1:32" ht="17.25" customHeight="1">
      <c r="A37" s="56">
        <f t="shared" ca="1" si="20"/>
        <v>208.50399529669335</v>
      </c>
      <c r="B37" s="52" t="s">
        <v>169</v>
      </c>
      <c r="P37" s="228"/>
      <c r="Q37" s="228"/>
      <c r="R37" s="237" t="s">
        <v>287</v>
      </c>
      <c r="S37" s="270" t="str">
        <f t="shared" si="21"/>
        <v>Non FF  15th year of service</v>
      </c>
      <c r="T37" s="266" cm="1">
        <f t="array" aca="1" ref="T37" ca="1">IF($R37="Y",VLOOKUP(S37,INDIRECT($P$1),2,0)*INDIRECT($Q$1),VLOOKUP(S37,INDIRECT($P$1),2,0))</f>
        <v>208.50399529669335</v>
      </c>
      <c r="U37" s="238">
        <f t="shared" ca="1" si="23"/>
        <v>1.9093772463067156</v>
      </c>
      <c r="V37" s="238">
        <f t="shared" ca="1" si="24"/>
        <v>2.6062999412086669</v>
      </c>
      <c r="W37" s="242"/>
      <c r="Y37" s="243"/>
      <c r="AB37" s="165" t="str">
        <f t="shared" si="19"/>
        <v>Non FF  15th year of service</v>
      </c>
      <c r="AC37" s="165"/>
      <c r="AD37" s="165"/>
      <c r="AE37" s="206">
        <f t="shared" ca="1" si="22"/>
        <v>1.909</v>
      </c>
      <c r="AF37" s="206">
        <f t="shared" ca="1" si="22"/>
        <v>2.6059999999999999</v>
      </c>
    </row>
    <row r="38" spans="1:32" ht="17.25" customHeight="1">
      <c r="A38" s="56">
        <f t="shared" ca="1" si="20"/>
        <v>216.5467891102644</v>
      </c>
      <c r="B38" s="52" t="s">
        <v>170</v>
      </c>
      <c r="P38" s="228"/>
      <c r="Q38" s="228"/>
      <c r="R38" s="237" t="s">
        <v>287</v>
      </c>
      <c r="S38" s="270" t="str">
        <f t="shared" si="21"/>
        <v>Non FF  16th year of service</v>
      </c>
      <c r="T38" s="266" cm="1">
        <f t="array" aca="1" ref="T38" ca="1">IF($R38="Y",VLOOKUP(S38,INDIRECT($P$1),2,0)*INDIRECT($Q$1),VLOOKUP(S38,INDIRECT($P$1),2,0))</f>
        <v>216.5467891102644</v>
      </c>
      <c r="U38" s="238">
        <f t="shared" ca="1" si="23"/>
        <v>1.9830292043064506</v>
      </c>
      <c r="V38" s="238">
        <f t="shared" ca="1" si="24"/>
        <v>2.7068348638783051</v>
      </c>
      <c r="W38" s="242"/>
      <c r="Y38" s="243"/>
      <c r="AB38" s="165" t="str">
        <f t="shared" si="19"/>
        <v>Non FF  16th year of service</v>
      </c>
      <c r="AC38" s="165"/>
      <c r="AD38" s="165"/>
      <c r="AE38" s="206">
        <f t="shared" ca="1" si="22"/>
        <v>1.9830000000000001</v>
      </c>
      <c r="AF38" s="206">
        <f t="shared" ca="1" si="22"/>
        <v>2.7069999999999999</v>
      </c>
    </row>
    <row r="39" spans="1:32" ht="17.25" customHeight="1">
      <c r="A39" s="56">
        <f t="shared" ca="1" si="20"/>
        <v>224.60407444422046</v>
      </c>
      <c r="B39" s="52" t="s">
        <v>171</v>
      </c>
      <c r="P39" s="228"/>
      <c r="Q39" s="228"/>
      <c r="R39" s="237" t="s">
        <v>287</v>
      </c>
      <c r="S39" s="270" t="str">
        <f t="shared" si="21"/>
        <v>Non FF  17th year of service</v>
      </c>
      <c r="T39" s="266" cm="1">
        <f t="array" aca="1" ref="T39" ca="1">IF($R39="Y",VLOOKUP(S39,INDIRECT($P$1),2,0)*INDIRECT($Q$1),VLOOKUP(S39,INDIRECT($P$1),2,0))</f>
        <v>224.60407444422046</v>
      </c>
      <c r="U39" s="238">
        <f t="shared" ca="1" si="23"/>
        <v>2.0568138685368171</v>
      </c>
      <c r="V39" s="238">
        <f t="shared" ca="1" si="24"/>
        <v>2.8075509305527557</v>
      </c>
      <c r="W39" s="242"/>
      <c r="Y39" s="243"/>
      <c r="AB39" s="165" t="str">
        <f t="shared" si="19"/>
        <v>Non FF  17th year of service</v>
      </c>
      <c r="AC39" s="165"/>
      <c r="AD39" s="165"/>
      <c r="AE39" s="206">
        <f t="shared" ca="1" si="22"/>
        <v>2.0569999999999999</v>
      </c>
      <c r="AF39" s="206">
        <f t="shared" ca="1" si="22"/>
        <v>2.8079999999999998</v>
      </c>
    </row>
    <row r="40" spans="1:32" ht="17.25" customHeight="1">
      <c r="A40" s="56">
        <f t="shared" ca="1" si="20"/>
        <v>232.66135977817763</v>
      </c>
      <c r="B40" s="52" t="s">
        <v>172</v>
      </c>
      <c r="P40" s="228"/>
      <c r="Q40" s="228"/>
      <c r="R40" s="237" t="s">
        <v>287</v>
      </c>
      <c r="S40" s="270" t="str">
        <f t="shared" si="21"/>
        <v>Non FF  18th year of service</v>
      </c>
      <c r="T40" s="266" cm="1">
        <f t="array" aca="1" ref="T40" ca="1">IF($R40="Y",VLOOKUP(S40,INDIRECT($P$1),2,0)*INDIRECT($Q$1),VLOOKUP(S40,INDIRECT($P$1),2,0))</f>
        <v>232.66135977817763</v>
      </c>
      <c r="U40" s="238">
        <f t="shared" ca="1" si="23"/>
        <v>2.1305985327671944</v>
      </c>
      <c r="V40" s="238">
        <f t="shared" ca="1" si="24"/>
        <v>2.9082669972272202</v>
      </c>
      <c r="W40" s="242"/>
      <c r="Y40" s="243"/>
      <c r="AB40" s="165" t="str">
        <f t="shared" si="19"/>
        <v>Non FF  18th year of service</v>
      </c>
      <c r="AC40" s="165"/>
      <c r="AD40" s="165"/>
      <c r="AE40" s="206">
        <f t="shared" ca="1" si="22"/>
        <v>2.1309999999999998</v>
      </c>
      <c r="AF40" s="206">
        <f t="shared" ca="1" si="22"/>
        <v>2.9079999999999999</v>
      </c>
    </row>
    <row r="41" spans="1:32" ht="17.25" customHeight="1">
      <c r="A41" s="56">
        <f t="shared" ca="1" si="20"/>
        <v>255.49999590464279</v>
      </c>
      <c r="B41" s="52" t="s">
        <v>173</v>
      </c>
      <c r="P41" s="228"/>
      <c r="Q41" s="228"/>
      <c r="R41" s="237" t="s">
        <v>287</v>
      </c>
      <c r="S41" s="270" t="str">
        <f t="shared" si="21"/>
        <v>Non FF  19th year of service</v>
      </c>
      <c r="T41" s="266" cm="1">
        <f t="array" aca="1" ref="T41" ca="1">IF($R41="Y",VLOOKUP(S41,INDIRECT($P$1),2,0)*INDIRECT($Q$1),VLOOKUP(S41,INDIRECT($P$1),2,0))</f>
        <v>255.49999590464279</v>
      </c>
      <c r="U41" s="238">
        <f t="shared" ca="1" si="23"/>
        <v>2.3397435522403187</v>
      </c>
      <c r="V41" s="238">
        <f t="shared" ca="1" si="24"/>
        <v>3.1937499488080348</v>
      </c>
      <c r="W41" s="242"/>
      <c r="Y41" s="243"/>
      <c r="AB41" s="165" t="str">
        <f t="shared" si="19"/>
        <v>Non FF  19th year of service</v>
      </c>
      <c r="AC41" s="165"/>
      <c r="AD41" s="165"/>
      <c r="AE41" s="206">
        <f t="shared" ca="1" si="22"/>
        <v>2.34</v>
      </c>
      <c r="AF41" s="206">
        <f t="shared" ca="1" si="22"/>
        <v>3.194</v>
      </c>
    </row>
    <row r="42" spans="1:32" ht="17.25" customHeight="1">
      <c r="A42" s="56">
        <f t="shared" ca="1" si="20"/>
        <v>321.00166804399862</v>
      </c>
      <c r="B42" s="52" t="s">
        <v>174</v>
      </c>
      <c r="P42" s="228"/>
      <c r="Q42" s="228"/>
      <c r="R42" s="237" t="s">
        <v>287</v>
      </c>
      <c r="S42" s="270" t="str">
        <f t="shared" si="21"/>
        <v>Non FF  20th year of service</v>
      </c>
      <c r="T42" s="266" cm="1">
        <f t="array" aca="1" ref="T42" ca="1">IF($R42="Y",VLOOKUP(S42,INDIRECT($P$1),2,0)*INDIRECT($Q$1),VLOOKUP(S42,INDIRECT($P$1),2,0))</f>
        <v>321.00166804399862</v>
      </c>
      <c r="U42" s="238">
        <f t="shared" ca="1" si="23"/>
        <v>2.9395757146886319</v>
      </c>
      <c r="V42" s="238">
        <f t="shared" ca="1" si="24"/>
        <v>4.0125208505499828</v>
      </c>
      <c r="W42" s="242"/>
      <c r="Y42" s="243"/>
      <c r="AB42" s="165" t="str">
        <f t="shared" si="19"/>
        <v>Non FF  20th year of service</v>
      </c>
      <c r="AC42" s="165"/>
      <c r="AD42" s="165"/>
      <c r="AE42" s="206">
        <f t="shared" ca="1" si="22"/>
        <v>2.94</v>
      </c>
      <c r="AF42" s="206">
        <f t="shared" ca="1" si="22"/>
        <v>4.0129999999999999</v>
      </c>
    </row>
    <row r="43" spans="1:32" ht="17.25" customHeight="1">
      <c r="A43" s="56">
        <f t="shared" ca="1" si="20"/>
        <v>329.05895337795471</v>
      </c>
      <c r="B43" s="52" t="s">
        <v>175</v>
      </c>
      <c r="P43" s="228"/>
      <c r="Q43" s="228"/>
      <c r="R43" s="237" t="s">
        <v>287</v>
      </c>
      <c r="S43" s="270" t="str">
        <f t="shared" si="21"/>
        <v>Non FF  21st year of service</v>
      </c>
      <c r="T43" s="266" cm="1">
        <f t="array" aca="1" ref="T43" ca="1">IF($R43="Y",VLOOKUP(S43,INDIRECT($P$1),2,0)*INDIRECT($Q$1),VLOOKUP(S43,INDIRECT($P$1),2,0))</f>
        <v>329.05895337795471</v>
      </c>
      <c r="U43" s="238">
        <f t="shared" ca="1" si="23"/>
        <v>3.0133603789189989</v>
      </c>
      <c r="V43" s="238">
        <f t="shared" ca="1" si="24"/>
        <v>4.1132369172244339</v>
      </c>
      <c r="W43" s="242"/>
      <c r="Y43" s="243"/>
      <c r="AB43" s="165" t="str">
        <f t="shared" si="19"/>
        <v>Non FF  21st year of service</v>
      </c>
      <c r="AC43" s="165"/>
      <c r="AD43" s="165"/>
      <c r="AE43" s="206">
        <f t="shared" ca="1" si="22"/>
        <v>3.0129999999999999</v>
      </c>
      <c r="AF43" s="206">
        <f t="shared" ca="1" si="22"/>
        <v>4.1130000000000004</v>
      </c>
    </row>
    <row r="44" spans="1:32" ht="17.25" customHeight="1">
      <c r="A44" s="56">
        <f t="shared" ca="1" si="20"/>
        <v>337.11623871191074</v>
      </c>
      <c r="B44" s="52" t="s">
        <v>176</v>
      </c>
      <c r="P44" s="228"/>
      <c r="Q44" s="228"/>
      <c r="R44" s="237" t="s">
        <v>287</v>
      </c>
      <c r="S44" s="270" t="str">
        <f t="shared" si="21"/>
        <v>Non FF  22nd year of service</v>
      </c>
      <c r="T44" s="266" cm="1">
        <f t="array" aca="1" ref="T44" ca="1">IF($R44="Y",VLOOKUP(S44,INDIRECT($P$1),2,0)*INDIRECT($Q$1),VLOOKUP(S44,INDIRECT($P$1),2,0))</f>
        <v>337.11623871191074</v>
      </c>
      <c r="U44" s="238">
        <f t="shared" ca="1" si="23"/>
        <v>3.0871450431493659</v>
      </c>
      <c r="V44" s="238">
        <f t="shared" ca="1" si="24"/>
        <v>4.2139529838988841</v>
      </c>
      <c r="W44" s="242"/>
      <c r="Y44" s="243"/>
      <c r="AB44" s="165" t="str">
        <f t="shared" si="19"/>
        <v>Non FF  22nd year of service</v>
      </c>
      <c r="AC44" s="165"/>
      <c r="AD44" s="165"/>
      <c r="AE44" s="206">
        <f t="shared" ca="1" si="22"/>
        <v>3.0870000000000002</v>
      </c>
      <c r="AF44" s="206">
        <f t="shared" ca="1" si="22"/>
        <v>4.2140000000000004</v>
      </c>
    </row>
    <row r="45" spans="1:32" ht="17.25" customHeight="1">
      <c r="A45" s="56">
        <f t="shared" ca="1" si="20"/>
        <v>345.17352404586785</v>
      </c>
      <c r="B45" s="52" t="s">
        <v>177</v>
      </c>
      <c r="P45" s="228"/>
      <c r="Q45" s="228"/>
      <c r="R45" s="237" t="s">
        <v>287</v>
      </c>
      <c r="S45" s="270" t="str">
        <f t="shared" si="21"/>
        <v>Non FF  23rd year of service</v>
      </c>
      <c r="T45" s="266" cm="1">
        <f t="array" aca="1" ref="T45" ca="1">IF($R45="Y",VLOOKUP(S45,INDIRECT($P$1),2,0)*INDIRECT($Q$1),VLOOKUP(S45,INDIRECT($P$1),2,0))</f>
        <v>345.17352404586785</v>
      </c>
      <c r="U45" s="238">
        <f t="shared" ca="1" si="23"/>
        <v>3.1609297073797422</v>
      </c>
      <c r="V45" s="238">
        <f t="shared" ca="1" si="24"/>
        <v>4.3146690505733485</v>
      </c>
      <c r="W45" s="242"/>
      <c r="Y45" s="243"/>
      <c r="AB45" s="165" t="str">
        <f t="shared" si="19"/>
        <v>Non FF  23rd year of service</v>
      </c>
      <c r="AC45" s="165"/>
      <c r="AD45" s="165"/>
      <c r="AE45" s="206">
        <f t="shared" ref="AE45:AF69" ca="1" si="25">ROUND(U45,3)</f>
        <v>3.161</v>
      </c>
      <c r="AF45" s="206">
        <f t="shared" ca="1" si="25"/>
        <v>4.3150000000000004</v>
      </c>
    </row>
    <row r="46" spans="1:32" ht="17.25" customHeight="1">
      <c r="A46" s="56">
        <f t="shared" ca="1" si="20"/>
        <v>353.23080937982388</v>
      </c>
      <c r="B46" s="52" t="s">
        <v>178</v>
      </c>
      <c r="P46" s="228"/>
      <c r="Q46" s="228"/>
      <c r="R46" s="237" t="s">
        <v>287</v>
      </c>
      <c r="S46" s="270" t="str">
        <f t="shared" si="21"/>
        <v>Non FF  24th year of service</v>
      </c>
      <c r="T46" s="266" cm="1">
        <f t="array" aca="1" ref="T46" ca="1">IF($R46="Y",VLOOKUP(S46,INDIRECT($P$1),2,0)*INDIRECT($Q$1),VLOOKUP(S46,INDIRECT($P$1),2,0))</f>
        <v>353.23080937982388</v>
      </c>
      <c r="U46" s="238">
        <f t="shared" ca="1" si="23"/>
        <v>3.2347143716101088</v>
      </c>
      <c r="V46" s="238">
        <f t="shared" ca="1" si="24"/>
        <v>4.4153851172477987</v>
      </c>
      <c r="W46" s="242"/>
      <c r="Y46" s="243"/>
      <c r="AB46" s="165" t="str">
        <f t="shared" si="19"/>
        <v>Non FF  24th year of service</v>
      </c>
      <c r="AC46" s="165"/>
      <c r="AD46" s="165"/>
      <c r="AE46" s="206">
        <f t="shared" ca="1" si="25"/>
        <v>3.2349999999999999</v>
      </c>
      <c r="AF46" s="206">
        <f t="shared" ca="1" si="25"/>
        <v>4.415</v>
      </c>
    </row>
    <row r="47" spans="1:32" ht="17.25" customHeight="1">
      <c r="A47" s="56">
        <f t="shared" ca="1" si="20"/>
        <v>385.89469632719306</v>
      </c>
      <c r="B47" s="52" t="s">
        <v>179</v>
      </c>
      <c r="P47" s="228"/>
      <c r="Q47" s="228"/>
      <c r="R47" s="237" t="s">
        <v>287</v>
      </c>
      <c r="S47" s="270" t="str">
        <f t="shared" si="21"/>
        <v>Non FF  25th year of service</v>
      </c>
      <c r="T47" s="266" cm="1">
        <f t="array" aca="1" ref="T47" ca="1">IF($R47="Y",VLOOKUP(S47,INDIRECT($P$1),2,0)*INDIRECT($Q$1),VLOOKUP(S47,INDIRECT($P$1),2,0))</f>
        <v>385.89469632719306</v>
      </c>
      <c r="U47" s="238">
        <f t="shared" ca="1" si="23"/>
        <v>3.5338342154504856</v>
      </c>
      <c r="V47" s="238">
        <f t="shared" ca="1" si="24"/>
        <v>4.8236837040899134</v>
      </c>
      <c r="W47" s="242"/>
      <c r="Y47" s="243"/>
      <c r="AB47" s="165" t="str">
        <f t="shared" si="19"/>
        <v>Non FF  25th year of service</v>
      </c>
      <c r="AC47" s="165"/>
      <c r="AD47" s="165"/>
      <c r="AE47" s="206">
        <f t="shared" ca="1" si="25"/>
        <v>3.5339999999999998</v>
      </c>
      <c r="AF47" s="206">
        <f t="shared" ca="1" si="25"/>
        <v>4.8239999999999998</v>
      </c>
    </row>
    <row r="48" spans="1:32">
      <c r="A48" s="261"/>
      <c r="B48" s="52"/>
      <c r="P48" s="228"/>
      <c r="Q48" s="228"/>
      <c r="R48" s="241"/>
      <c r="U48" s="241"/>
      <c r="V48" s="228"/>
      <c r="W48" s="228"/>
      <c r="AE48" s="209"/>
      <c r="AF48" s="209"/>
    </row>
    <row r="49" spans="1:32" ht="27.75" customHeight="1">
      <c r="A49" s="262" t="s">
        <v>136</v>
      </c>
      <c r="B49" s="42" t="s">
        <v>181</v>
      </c>
      <c r="P49" s="228"/>
      <c r="Q49" s="228"/>
      <c r="R49" s="241"/>
      <c r="U49" s="234" t="s">
        <v>232</v>
      </c>
      <c r="V49" s="234" t="s">
        <v>233</v>
      </c>
      <c r="W49" s="228"/>
      <c r="AB49" s="207" t="s">
        <v>297</v>
      </c>
      <c r="AC49" s="165"/>
      <c r="AD49" s="207"/>
      <c r="AE49" s="208" t="str">
        <f>U49</f>
        <v>CFH/109.2</v>
      </c>
      <c r="AF49" s="208" t="str">
        <f>V49</f>
        <v>CFI/80</v>
      </c>
    </row>
    <row r="50" spans="1:32" ht="17.25" customHeight="1">
      <c r="A50" s="56">
        <f ca="1">T50</f>
        <v>17.737620951011468</v>
      </c>
      <c r="B50" s="52" t="s">
        <v>161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140"/>
      <c r="P50" s="228"/>
      <c r="Q50" s="228"/>
      <c r="R50" s="237" t="s">
        <v>287</v>
      </c>
      <c r="S50" s="270" t="str">
        <f t="shared" ref="S50:S69" si="26">"FF "&amp;B50</f>
        <v>FF  7th year of service</v>
      </c>
      <c r="T50" s="266" cm="1">
        <f t="array" aca="1" ref="T50" ca="1">IF($R50="Y",VLOOKUP(S50,INDIRECT($P$1),2,0)*INDIRECT($Q$1),VLOOKUP(S50,INDIRECT($P$1),2,0))</f>
        <v>17.737620951011468</v>
      </c>
      <c r="U50" s="238">
        <f t="shared" ref="U50:U69" ca="1" si="27">T50/109.2</f>
        <v>0.1624324262913138</v>
      </c>
      <c r="V50" s="238">
        <f t="shared" ref="V50" ca="1" si="28">T50/80</f>
        <v>0.22172026188764335</v>
      </c>
      <c r="W50" s="242"/>
      <c r="AB50" s="165" t="str">
        <f t="shared" si="19"/>
        <v>FF  7th year of service</v>
      </c>
      <c r="AC50" s="165"/>
      <c r="AD50" s="165"/>
      <c r="AE50" s="206">
        <f t="shared" ca="1" si="25"/>
        <v>0.16200000000000001</v>
      </c>
      <c r="AF50" s="206">
        <f t="shared" ca="1" si="25"/>
        <v>0.222</v>
      </c>
    </row>
    <row r="51" spans="1:32" ht="17.25" customHeight="1">
      <c r="A51" s="56">
        <f t="shared" ref="A51:A69" ca="1" si="29">T51</f>
        <v>25.157279388035803</v>
      </c>
      <c r="B51" s="52" t="s">
        <v>162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40"/>
      <c r="P51" s="228"/>
      <c r="Q51" s="228"/>
      <c r="R51" s="237" t="s">
        <v>287</v>
      </c>
      <c r="S51" s="270" t="str">
        <f t="shared" si="26"/>
        <v>FF  8th year of service</v>
      </c>
      <c r="T51" s="266" cm="1">
        <f t="array" aca="1" ref="T51" ca="1">IF($R51="Y",VLOOKUP(S51,INDIRECT($P$1),2,0)*INDIRECT($Q$1),VLOOKUP(S51,INDIRECT($P$1),2,0))</f>
        <v>25.157279388035803</v>
      </c>
      <c r="U51" s="238">
        <f t="shared" ca="1" si="27"/>
        <v>0.23037801637395425</v>
      </c>
      <c r="V51" s="238">
        <f t="shared" ref="V51:V52" ca="1" si="30">T51/80</f>
        <v>0.31446599235044753</v>
      </c>
      <c r="W51" s="242"/>
      <c r="Y51" s="243"/>
      <c r="AB51" s="165" t="str">
        <f t="shared" si="19"/>
        <v>FF  8th year of service</v>
      </c>
      <c r="AC51" s="165"/>
      <c r="AD51" s="165"/>
      <c r="AE51" s="206">
        <f t="shared" ca="1" si="25"/>
        <v>0.23</v>
      </c>
      <c r="AF51" s="206">
        <f t="shared" ca="1" si="25"/>
        <v>0.314</v>
      </c>
    </row>
    <row r="52" spans="1:32" ht="17.25" customHeight="1">
      <c r="A52" s="56">
        <f t="shared" ca="1" si="29"/>
        <v>32.576937825060241</v>
      </c>
      <c r="B52" s="52" t="s">
        <v>163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140"/>
      <c r="P52" s="228"/>
      <c r="Q52" s="228"/>
      <c r="R52" s="237" t="s">
        <v>287</v>
      </c>
      <c r="S52" s="270" t="str">
        <f t="shared" si="26"/>
        <v>FF  9th year of service</v>
      </c>
      <c r="T52" s="266" cm="1">
        <f t="array" aca="1" ref="T52" ca="1">IF($R52="Y",VLOOKUP(S52,INDIRECT($P$1),2,0)*INDIRECT($Q$1),VLOOKUP(S52,INDIRECT($P$1),2,0))</f>
        <v>32.576937825060241</v>
      </c>
      <c r="U52" s="238">
        <f t="shared" ca="1" si="27"/>
        <v>0.29832360645659561</v>
      </c>
      <c r="V52" s="238">
        <f t="shared" ca="1" si="30"/>
        <v>0.40721172281325302</v>
      </c>
      <c r="W52" s="242"/>
      <c r="Y52" s="243"/>
      <c r="AB52" s="165" t="str">
        <f t="shared" si="19"/>
        <v>FF  9th year of service</v>
      </c>
      <c r="AC52" s="165"/>
      <c r="AD52" s="165"/>
      <c r="AE52" s="206">
        <f t="shared" ca="1" si="25"/>
        <v>0.29799999999999999</v>
      </c>
      <c r="AF52" s="206">
        <f t="shared" ca="1" si="25"/>
        <v>0.40699999999999997</v>
      </c>
    </row>
    <row r="53" spans="1:32" ht="17.25" customHeight="1">
      <c r="A53" s="56">
        <f t="shared" ca="1" si="29"/>
        <v>39.996596262084687</v>
      </c>
      <c r="B53" s="52" t="s">
        <v>164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40"/>
      <c r="P53" s="228"/>
      <c r="Q53" s="228"/>
      <c r="R53" s="237" t="s">
        <v>287</v>
      </c>
      <c r="S53" s="270" t="str">
        <f t="shared" si="26"/>
        <v>FF  10th year of service</v>
      </c>
      <c r="T53" s="266" cm="1">
        <f t="array" aca="1" ref="T53" ca="1">IF($R53="Y",VLOOKUP(S53,INDIRECT($P$1),2,0)*INDIRECT($Q$1),VLOOKUP(S53,INDIRECT($P$1),2,0))</f>
        <v>39.996596262084687</v>
      </c>
      <c r="U53" s="238">
        <f t="shared" ca="1" si="27"/>
        <v>0.36626919653923706</v>
      </c>
      <c r="V53" s="238">
        <f t="shared" ref="V53:V69" ca="1" si="31">T53/80</f>
        <v>0.49995745327605856</v>
      </c>
      <c r="W53" s="242"/>
      <c r="Y53" s="243"/>
      <c r="AB53" s="165" t="str">
        <f t="shared" si="19"/>
        <v>FF  10th year of service</v>
      </c>
      <c r="AC53" s="165"/>
      <c r="AD53" s="165"/>
      <c r="AE53" s="206">
        <f t="shared" ca="1" si="25"/>
        <v>0.36599999999999999</v>
      </c>
      <c r="AF53" s="206">
        <f t="shared" ca="1" si="25"/>
        <v>0.5</v>
      </c>
    </row>
    <row r="54" spans="1:32" ht="17.25" customHeight="1">
      <c r="A54" s="56">
        <f t="shared" ca="1" si="29"/>
        <v>47.416254699109032</v>
      </c>
      <c r="B54" s="52" t="s">
        <v>165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40"/>
      <c r="P54" s="228"/>
      <c r="Q54" s="228"/>
      <c r="R54" s="237" t="s">
        <v>287</v>
      </c>
      <c r="S54" s="270" t="str">
        <f t="shared" si="26"/>
        <v>FF  11th year of service</v>
      </c>
      <c r="T54" s="266" cm="1">
        <f t="array" aca="1" ref="T54" ca="1">IF($R54="Y",VLOOKUP(S54,INDIRECT($P$1),2,0)*INDIRECT($Q$1),VLOOKUP(S54,INDIRECT($P$1),2,0))</f>
        <v>47.416254699109032</v>
      </c>
      <c r="U54" s="238">
        <f t="shared" ca="1" si="27"/>
        <v>0.43421478662187757</v>
      </c>
      <c r="V54" s="238">
        <f t="shared" ca="1" si="31"/>
        <v>0.59270318373886288</v>
      </c>
      <c r="W54" s="242"/>
      <c r="Y54" s="243"/>
      <c r="AB54" s="165" t="str">
        <f t="shared" si="19"/>
        <v>FF  11th year of service</v>
      </c>
      <c r="AC54" s="165"/>
      <c r="AD54" s="165"/>
      <c r="AE54" s="206">
        <f t="shared" ca="1" si="25"/>
        <v>0.434</v>
      </c>
      <c r="AF54" s="206">
        <f t="shared" ca="1" si="25"/>
        <v>0.59299999999999997</v>
      </c>
    </row>
    <row r="55" spans="1:32" ht="17.25" customHeight="1">
      <c r="A55" s="56">
        <f t="shared" ca="1" si="29"/>
        <v>143.30664508541884</v>
      </c>
      <c r="B55" s="52" t="s">
        <v>166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40"/>
      <c r="P55" s="228"/>
      <c r="Q55" s="228"/>
      <c r="R55" s="237" t="s">
        <v>287</v>
      </c>
      <c r="S55" s="270" t="str">
        <f t="shared" si="26"/>
        <v>FF  12th year of service</v>
      </c>
      <c r="T55" s="266" cm="1">
        <f t="array" aca="1" ref="T55" ca="1">IF($R55="Y",VLOOKUP(S55,INDIRECT($P$1),2,0)*INDIRECT($Q$1),VLOOKUP(S55,INDIRECT($P$1),2,0))</f>
        <v>143.30664508541884</v>
      </c>
      <c r="U55" s="238">
        <f t="shared" ca="1" si="27"/>
        <v>1.3123319147016377</v>
      </c>
      <c r="V55" s="238">
        <f t="shared" ca="1" si="31"/>
        <v>1.7913330635677354</v>
      </c>
      <c r="W55" s="242"/>
      <c r="Y55" s="243"/>
      <c r="AB55" s="165" t="str">
        <f t="shared" si="19"/>
        <v>FF  12th year of service</v>
      </c>
      <c r="AC55" s="165"/>
      <c r="AD55" s="165"/>
      <c r="AE55" s="206">
        <f t="shared" ca="1" si="25"/>
        <v>1.3120000000000001</v>
      </c>
      <c r="AF55" s="206">
        <f t="shared" ca="1" si="25"/>
        <v>1.7909999999999999</v>
      </c>
    </row>
    <row r="56" spans="1:32" ht="17.25" customHeight="1">
      <c r="A56" s="56">
        <f t="shared" ca="1" si="29"/>
        <v>151.36393041937487</v>
      </c>
      <c r="B56" s="52" t="s">
        <v>167</v>
      </c>
      <c r="P56" s="228"/>
      <c r="Q56" s="228"/>
      <c r="R56" s="237" t="s">
        <v>287</v>
      </c>
      <c r="S56" s="270" t="str">
        <f t="shared" si="26"/>
        <v>FF  13th year of service</v>
      </c>
      <c r="T56" s="266" cm="1">
        <f t="array" aca="1" ref="T56" ca="1">IF($R56="Y",VLOOKUP(S56,INDIRECT($P$1),2,0)*INDIRECT($Q$1),VLOOKUP(S56,INDIRECT($P$1),2,0))</f>
        <v>151.36393041937487</v>
      </c>
      <c r="U56" s="238">
        <f t="shared" ca="1" si="27"/>
        <v>1.3861165789320042</v>
      </c>
      <c r="V56" s="238">
        <f t="shared" ca="1" si="31"/>
        <v>1.8920491302421858</v>
      </c>
      <c r="W56" s="242"/>
      <c r="Y56" s="243"/>
      <c r="AB56" s="165" t="str">
        <f t="shared" si="19"/>
        <v>FF  13th year of service</v>
      </c>
      <c r="AC56" s="165"/>
      <c r="AD56" s="165"/>
      <c r="AE56" s="206">
        <f t="shared" ca="1" si="25"/>
        <v>1.3859999999999999</v>
      </c>
      <c r="AF56" s="206">
        <f t="shared" ca="1" si="25"/>
        <v>1.8919999999999999</v>
      </c>
    </row>
    <row r="57" spans="1:32" ht="17.25" customHeight="1">
      <c r="A57" s="56">
        <f t="shared" ca="1" si="29"/>
        <v>159.40672423294589</v>
      </c>
      <c r="B57" s="52" t="s">
        <v>168</v>
      </c>
      <c r="P57" s="228"/>
      <c r="Q57" s="228"/>
      <c r="R57" s="237" t="s">
        <v>287</v>
      </c>
      <c r="S57" s="270" t="str">
        <f t="shared" si="26"/>
        <v>FF  14th year of service</v>
      </c>
      <c r="T57" s="266" cm="1">
        <f t="array" aca="1" ref="T57" ca="1">IF($R57="Y",VLOOKUP(S57,INDIRECT($P$1),2,0)*INDIRECT($Q$1),VLOOKUP(S57,INDIRECT($P$1),2,0))</f>
        <v>159.40672423294589</v>
      </c>
      <c r="U57" s="238">
        <f t="shared" ca="1" si="27"/>
        <v>1.4597685369317388</v>
      </c>
      <c r="V57" s="238">
        <f t="shared" ca="1" si="31"/>
        <v>1.9925840529118237</v>
      </c>
      <c r="W57" s="242"/>
      <c r="Y57" s="243"/>
      <c r="AB57" s="165" t="str">
        <f t="shared" si="19"/>
        <v>FF  14th year of service</v>
      </c>
      <c r="AC57" s="165"/>
      <c r="AD57" s="165"/>
      <c r="AE57" s="206">
        <f t="shared" ca="1" si="25"/>
        <v>1.46</v>
      </c>
      <c r="AF57" s="206">
        <f t="shared" ca="1" si="25"/>
        <v>1.9930000000000001</v>
      </c>
    </row>
    <row r="58" spans="1:32" ht="17.25" customHeight="1">
      <c r="A58" s="56">
        <f t="shared" ca="1" si="29"/>
        <v>208.50399529669335</v>
      </c>
      <c r="B58" s="52" t="s">
        <v>169</v>
      </c>
      <c r="P58" s="228"/>
      <c r="Q58" s="228"/>
      <c r="R58" s="237" t="s">
        <v>287</v>
      </c>
      <c r="S58" s="270" t="str">
        <f t="shared" si="26"/>
        <v>FF  15th year of service</v>
      </c>
      <c r="T58" s="266" cm="1">
        <f t="array" aca="1" ref="T58" ca="1">IF($R58="Y",VLOOKUP(S58,INDIRECT($P$1),2,0)*INDIRECT($Q$1),VLOOKUP(S58,INDIRECT($P$1),2,0))</f>
        <v>208.50399529669335</v>
      </c>
      <c r="U58" s="238">
        <f t="shared" ca="1" si="27"/>
        <v>1.9093772463067156</v>
      </c>
      <c r="V58" s="238">
        <f t="shared" ca="1" si="31"/>
        <v>2.6062999412086669</v>
      </c>
      <c r="W58" s="242"/>
      <c r="Y58" s="243"/>
      <c r="AB58" s="165" t="str">
        <f t="shared" si="19"/>
        <v>FF  15th year of service</v>
      </c>
      <c r="AC58" s="165"/>
      <c r="AD58" s="165"/>
      <c r="AE58" s="206">
        <f t="shared" ca="1" si="25"/>
        <v>1.909</v>
      </c>
      <c r="AF58" s="206">
        <f t="shared" ca="1" si="25"/>
        <v>2.6059999999999999</v>
      </c>
    </row>
    <row r="59" spans="1:32" ht="17.25" customHeight="1">
      <c r="A59" s="56">
        <f t="shared" ca="1" si="29"/>
        <v>216.5467891102644</v>
      </c>
      <c r="B59" s="52" t="s">
        <v>170</v>
      </c>
      <c r="P59" s="228"/>
      <c r="Q59" s="228"/>
      <c r="R59" s="237" t="s">
        <v>287</v>
      </c>
      <c r="S59" s="270" t="str">
        <f t="shared" si="26"/>
        <v>FF  16th year of service</v>
      </c>
      <c r="T59" s="266" cm="1">
        <f t="array" aca="1" ref="T59" ca="1">IF($R59="Y",VLOOKUP(S59,INDIRECT($P$1),2,0)*INDIRECT($Q$1),VLOOKUP(S59,INDIRECT($P$1),2,0))</f>
        <v>216.5467891102644</v>
      </c>
      <c r="U59" s="238">
        <f t="shared" ca="1" si="27"/>
        <v>1.9830292043064506</v>
      </c>
      <c r="V59" s="238">
        <f t="shared" ca="1" si="31"/>
        <v>2.7068348638783051</v>
      </c>
      <c r="W59" s="242"/>
      <c r="Y59" s="243"/>
      <c r="AB59" s="165" t="str">
        <f t="shared" si="19"/>
        <v>FF  16th year of service</v>
      </c>
      <c r="AC59" s="165"/>
      <c r="AD59" s="165"/>
      <c r="AE59" s="206">
        <f t="shared" ca="1" si="25"/>
        <v>1.9830000000000001</v>
      </c>
      <c r="AF59" s="206">
        <f t="shared" ca="1" si="25"/>
        <v>2.7069999999999999</v>
      </c>
    </row>
    <row r="60" spans="1:32" ht="17.25" customHeight="1">
      <c r="A60" s="56">
        <f t="shared" ca="1" si="29"/>
        <v>224.60407444422046</v>
      </c>
      <c r="B60" s="52" t="s">
        <v>171</v>
      </c>
      <c r="P60" s="228"/>
      <c r="Q60" s="228"/>
      <c r="R60" s="237" t="s">
        <v>287</v>
      </c>
      <c r="S60" s="270" t="str">
        <f t="shared" si="26"/>
        <v>FF  17th year of service</v>
      </c>
      <c r="T60" s="266" cm="1">
        <f t="array" aca="1" ref="T60" ca="1">IF($R60="Y",VLOOKUP(S60,INDIRECT($P$1),2,0)*INDIRECT($Q$1),VLOOKUP(S60,INDIRECT($P$1),2,0))</f>
        <v>224.60407444422046</v>
      </c>
      <c r="U60" s="238">
        <f t="shared" ca="1" si="27"/>
        <v>2.0568138685368171</v>
      </c>
      <c r="V60" s="238">
        <f t="shared" ca="1" si="31"/>
        <v>2.8075509305527557</v>
      </c>
      <c r="W60" s="242"/>
      <c r="Y60" s="243"/>
      <c r="AB60" s="165" t="str">
        <f t="shared" si="19"/>
        <v>FF  17th year of service</v>
      </c>
      <c r="AC60" s="165"/>
      <c r="AD60" s="165"/>
      <c r="AE60" s="206">
        <f t="shared" ca="1" si="25"/>
        <v>2.0569999999999999</v>
      </c>
      <c r="AF60" s="206">
        <f t="shared" ca="1" si="25"/>
        <v>2.8079999999999998</v>
      </c>
    </row>
    <row r="61" spans="1:32" ht="17.25" customHeight="1">
      <c r="A61" s="56">
        <f t="shared" ca="1" si="29"/>
        <v>232.66135977817763</v>
      </c>
      <c r="B61" s="52" t="s">
        <v>172</v>
      </c>
      <c r="P61" s="228"/>
      <c r="Q61" s="228"/>
      <c r="R61" s="237" t="s">
        <v>287</v>
      </c>
      <c r="S61" s="270" t="str">
        <f t="shared" si="26"/>
        <v>FF  18th year of service</v>
      </c>
      <c r="T61" s="266" cm="1">
        <f t="array" aca="1" ref="T61" ca="1">IF($R61="Y",VLOOKUP(S61,INDIRECT($P$1),2,0)*INDIRECT($Q$1),VLOOKUP(S61,INDIRECT($P$1),2,0))</f>
        <v>232.66135977817763</v>
      </c>
      <c r="U61" s="238">
        <f t="shared" ca="1" si="27"/>
        <v>2.1305985327671944</v>
      </c>
      <c r="V61" s="238">
        <f t="shared" ca="1" si="31"/>
        <v>2.9082669972272202</v>
      </c>
      <c r="W61" s="242"/>
      <c r="Y61" s="243"/>
      <c r="AB61" s="165" t="str">
        <f t="shared" si="19"/>
        <v>FF  18th year of service</v>
      </c>
      <c r="AC61" s="165"/>
      <c r="AD61" s="165"/>
      <c r="AE61" s="206">
        <f t="shared" ca="1" si="25"/>
        <v>2.1309999999999998</v>
      </c>
      <c r="AF61" s="206">
        <f t="shared" ca="1" si="25"/>
        <v>2.9079999999999999</v>
      </c>
    </row>
    <row r="62" spans="1:32" ht="17.25" customHeight="1">
      <c r="A62" s="56">
        <f t="shared" ca="1" si="29"/>
        <v>255.49999590464279</v>
      </c>
      <c r="B62" s="52" t="s">
        <v>173</v>
      </c>
      <c r="P62" s="228"/>
      <c r="Q62" s="228"/>
      <c r="R62" s="237" t="s">
        <v>287</v>
      </c>
      <c r="S62" s="270" t="str">
        <f t="shared" si="26"/>
        <v>FF  19th year of service</v>
      </c>
      <c r="T62" s="266" cm="1">
        <f t="array" aca="1" ref="T62" ca="1">IF($R62="Y",VLOOKUP(S62,INDIRECT($P$1),2,0)*INDIRECT($Q$1),VLOOKUP(S62,INDIRECT($P$1),2,0))</f>
        <v>255.49999590464279</v>
      </c>
      <c r="U62" s="238">
        <f t="shared" ca="1" si="27"/>
        <v>2.3397435522403187</v>
      </c>
      <c r="V62" s="238">
        <f t="shared" ca="1" si="31"/>
        <v>3.1937499488080348</v>
      </c>
      <c r="W62" s="242"/>
      <c r="Y62" s="243"/>
      <c r="AB62" s="165" t="str">
        <f t="shared" si="19"/>
        <v>FF  19th year of service</v>
      </c>
      <c r="AC62" s="165"/>
      <c r="AD62" s="165"/>
      <c r="AE62" s="206">
        <f t="shared" ca="1" si="25"/>
        <v>2.34</v>
      </c>
      <c r="AF62" s="206">
        <f t="shared" ca="1" si="25"/>
        <v>3.194</v>
      </c>
    </row>
    <row r="63" spans="1:32" ht="17.25" customHeight="1">
      <c r="A63" s="56">
        <f t="shared" ca="1" si="29"/>
        <v>321.00166804399862</v>
      </c>
      <c r="B63" s="52" t="s">
        <v>174</v>
      </c>
      <c r="P63" s="228"/>
      <c r="Q63" s="228"/>
      <c r="R63" s="237" t="s">
        <v>287</v>
      </c>
      <c r="S63" s="270" t="str">
        <f t="shared" si="26"/>
        <v>FF  20th year of service</v>
      </c>
      <c r="T63" s="266" cm="1">
        <f t="array" aca="1" ref="T63" ca="1">IF($R63="Y",VLOOKUP(S63,INDIRECT($P$1),2,0)*INDIRECT($Q$1),VLOOKUP(S63,INDIRECT($P$1),2,0))</f>
        <v>321.00166804399862</v>
      </c>
      <c r="U63" s="238">
        <f t="shared" ca="1" si="27"/>
        <v>2.9395757146886319</v>
      </c>
      <c r="V63" s="238">
        <f t="shared" ca="1" si="31"/>
        <v>4.0125208505499828</v>
      </c>
      <c r="W63" s="242"/>
      <c r="Y63" s="243"/>
      <c r="AB63" s="165" t="str">
        <f t="shared" si="19"/>
        <v>FF  20th year of service</v>
      </c>
      <c r="AC63" s="165"/>
      <c r="AD63" s="165"/>
      <c r="AE63" s="206">
        <f t="shared" ca="1" si="25"/>
        <v>2.94</v>
      </c>
      <c r="AF63" s="206">
        <f t="shared" ca="1" si="25"/>
        <v>4.0129999999999999</v>
      </c>
    </row>
    <row r="64" spans="1:32" ht="17.25" customHeight="1">
      <c r="A64" s="56">
        <f t="shared" ca="1" si="29"/>
        <v>378.12980512027474</v>
      </c>
      <c r="B64" s="52" t="s">
        <v>175</v>
      </c>
      <c r="P64" s="228"/>
      <c r="Q64" s="228"/>
      <c r="R64" s="237" t="s">
        <v>287</v>
      </c>
      <c r="S64" s="270" t="str">
        <f t="shared" si="26"/>
        <v>FF  21st year of service</v>
      </c>
      <c r="T64" s="266" cm="1">
        <f t="array" aca="1" ref="T64" ca="1">IF($R64="Y",VLOOKUP(S64,INDIRECT($P$1),2,0)*INDIRECT($Q$1),VLOOKUP(S64,INDIRECT($P$1),2,0))</f>
        <v>378.12980512027474</v>
      </c>
      <c r="U64" s="238">
        <f t="shared" ca="1" si="27"/>
        <v>3.4627271531160688</v>
      </c>
      <c r="V64" s="238">
        <f t="shared" ca="1" si="31"/>
        <v>4.7266225640034341</v>
      </c>
      <c r="W64" s="242"/>
      <c r="Y64" s="243"/>
      <c r="AB64" s="165" t="str">
        <f t="shared" si="19"/>
        <v>FF  21st year of service</v>
      </c>
      <c r="AC64" s="165"/>
      <c r="AD64" s="165"/>
      <c r="AE64" s="206">
        <f t="shared" ca="1" si="25"/>
        <v>3.4630000000000001</v>
      </c>
      <c r="AF64" s="206">
        <f t="shared" ca="1" si="25"/>
        <v>4.7270000000000003</v>
      </c>
    </row>
    <row r="65" spans="1:32" ht="17.25" customHeight="1">
      <c r="A65" s="56">
        <f t="shared" ca="1" si="29"/>
        <v>386.18709045423094</v>
      </c>
      <c r="B65" s="52" t="s">
        <v>176</v>
      </c>
      <c r="P65" s="228"/>
      <c r="Q65" s="228"/>
      <c r="R65" s="237" t="s">
        <v>287</v>
      </c>
      <c r="S65" s="270" t="str">
        <f t="shared" si="26"/>
        <v>FF  22nd year of service</v>
      </c>
      <c r="T65" s="266" cm="1">
        <f t="array" aca="1" ref="T65" ca="1">IF($R65="Y",VLOOKUP(S65,INDIRECT($P$1),2,0)*INDIRECT($Q$1),VLOOKUP(S65,INDIRECT($P$1),2,0))</f>
        <v>386.18709045423094</v>
      </c>
      <c r="U65" s="238">
        <f t="shared" ca="1" si="27"/>
        <v>3.5365118173464372</v>
      </c>
      <c r="V65" s="238">
        <f t="shared" ca="1" si="31"/>
        <v>4.8273386306778869</v>
      </c>
      <c r="W65" s="242"/>
      <c r="Y65" s="243"/>
      <c r="AB65" s="165" t="str">
        <f t="shared" si="19"/>
        <v>FF  22nd year of service</v>
      </c>
      <c r="AC65" s="165"/>
      <c r="AD65" s="165"/>
      <c r="AE65" s="206">
        <f t="shared" ca="1" si="25"/>
        <v>3.5369999999999999</v>
      </c>
      <c r="AF65" s="206">
        <f t="shared" ca="1" si="25"/>
        <v>4.827</v>
      </c>
    </row>
    <row r="66" spans="1:32" ht="17.25" customHeight="1">
      <c r="A66" s="56">
        <f t="shared" ca="1" si="29"/>
        <v>394.2443757881872</v>
      </c>
      <c r="B66" s="52" t="s">
        <v>177</v>
      </c>
      <c r="P66" s="228"/>
      <c r="Q66" s="228"/>
      <c r="R66" s="237" t="s">
        <v>287</v>
      </c>
      <c r="S66" s="270" t="str">
        <f t="shared" si="26"/>
        <v>FF  23rd year of service</v>
      </c>
      <c r="T66" s="266" cm="1">
        <f t="array" aca="1" ref="T66" ca="1">IF($R66="Y",VLOOKUP(S66,INDIRECT($P$1),2,0)*INDIRECT($Q$1),VLOOKUP(S66,INDIRECT($P$1),2,0))</f>
        <v>394.2443757881872</v>
      </c>
      <c r="U66" s="238">
        <f t="shared" ca="1" si="27"/>
        <v>3.6102964815768059</v>
      </c>
      <c r="V66" s="238">
        <f t="shared" ca="1" si="31"/>
        <v>4.9280546973523398</v>
      </c>
      <c r="W66" s="242"/>
      <c r="Y66" s="243"/>
      <c r="AB66" s="165" t="str">
        <f t="shared" si="19"/>
        <v>FF  23rd year of service</v>
      </c>
      <c r="AC66" s="165"/>
      <c r="AD66" s="165"/>
      <c r="AE66" s="206">
        <f t="shared" ca="1" si="25"/>
        <v>3.61</v>
      </c>
      <c r="AF66" s="206">
        <f t="shared" ca="1" si="25"/>
        <v>4.9279999999999999</v>
      </c>
    </row>
    <row r="67" spans="1:32" ht="17.25" customHeight="1">
      <c r="A67" s="56">
        <f t="shared" ca="1" si="29"/>
        <v>402.30166112214346</v>
      </c>
      <c r="B67" s="52" t="s">
        <v>178</v>
      </c>
      <c r="P67" s="228"/>
      <c r="Q67" s="228"/>
      <c r="R67" s="237" t="s">
        <v>287</v>
      </c>
      <c r="S67" s="270" t="str">
        <f t="shared" si="26"/>
        <v>FF  24th year of service</v>
      </c>
      <c r="T67" s="266" cm="1">
        <f t="array" aca="1" ref="T67" ca="1">IF($R67="Y",VLOOKUP(S67,INDIRECT($P$1),2,0)*INDIRECT($Q$1),VLOOKUP(S67,INDIRECT($P$1),2,0))</f>
        <v>402.30166112214346</v>
      </c>
      <c r="U67" s="238">
        <f t="shared" ca="1" si="27"/>
        <v>3.6840811458071743</v>
      </c>
      <c r="V67" s="238">
        <f t="shared" ca="1" si="31"/>
        <v>5.0287707640267936</v>
      </c>
      <c r="W67" s="242"/>
      <c r="Y67" s="243"/>
      <c r="AB67" s="165" t="str">
        <f t="shared" si="19"/>
        <v>FF  24th year of service</v>
      </c>
      <c r="AC67" s="165"/>
      <c r="AD67" s="165"/>
      <c r="AE67" s="206">
        <f t="shared" ca="1" si="25"/>
        <v>3.6840000000000002</v>
      </c>
      <c r="AF67" s="206">
        <f t="shared" ca="1" si="25"/>
        <v>5.0289999999999999</v>
      </c>
    </row>
    <row r="68" spans="1:32" ht="17.25" customHeight="1">
      <c r="A68" s="56">
        <f t="shared" ca="1" si="29"/>
        <v>434.96554806951264</v>
      </c>
      <c r="B68" s="52" t="s">
        <v>179</v>
      </c>
      <c r="P68" s="228"/>
      <c r="Q68" s="228"/>
      <c r="R68" s="237" t="s">
        <v>287</v>
      </c>
      <c r="S68" s="270" t="str">
        <f t="shared" si="26"/>
        <v>FF  25th year of service</v>
      </c>
      <c r="T68" s="266" cm="1">
        <f t="array" aca="1" ref="T68" ca="1">IF($R68="Y",VLOOKUP(S68,INDIRECT($P$1),2,0)*INDIRECT($Q$1),VLOOKUP(S68,INDIRECT($P$1),2,0))</f>
        <v>434.96554806951264</v>
      </c>
      <c r="U68" s="238">
        <f t="shared" ca="1" si="27"/>
        <v>3.9832009896475515</v>
      </c>
      <c r="V68" s="238">
        <f t="shared" ca="1" si="31"/>
        <v>5.4370693508689083</v>
      </c>
      <c r="W68" s="242"/>
      <c r="Y68" s="243"/>
      <c r="AB68" s="165" t="str">
        <f t="shared" si="19"/>
        <v>FF  25th year of service</v>
      </c>
      <c r="AC68" s="165"/>
      <c r="AD68" s="165"/>
      <c r="AE68" s="206">
        <f t="shared" ca="1" si="25"/>
        <v>3.9830000000000001</v>
      </c>
      <c r="AF68" s="206">
        <f t="shared" ca="1" si="25"/>
        <v>5.4370000000000003</v>
      </c>
    </row>
    <row r="69" spans="1:32" ht="17.25" customHeight="1">
      <c r="A69" s="56">
        <f t="shared" ca="1" si="29"/>
        <v>498.23433750480314</v>
      </c>
      <c r="B69" s="52" t="s">
        <v>180</v>
      </c>
      <c r="P69" s="228"/>
      <c r="Q69" s="228"/>
      <c r="R69" s="237" t="s">
        <v>287</v>
      </c>
      <c r="S69" s="270" t="str">
        <f t="shared" si="26"/>
        <v>FF 26th year of service</v>
      </c>
      <c r="T69" s="266" cm="1">
        <f t="array" aca="1" ref="T69" ca="1">IF($R69="Y",VLOOKUP(S69,INDIRECT($P$1),2,0)*INDIRECT($Q$1),VLOOKUP(S69,INDIRECT($P$1),2,0))</f>
        <v>498.23433750480314</v>
      </c>
      <c r="U69" s="238">
        <f t="shared" ca="1" si="27"/>
        <v>4.5625855082857427</v>
      </c>
      <c r="V69" s="238">
        <f t="shared" ca="1" si="31"/>
        <v>6.227929218810039</v>
      </c>
      <c r="W69" s="242"/>
      <c r="Y69" s="243"/>
      <c r="AB69" s="165" t="str">
        <f t="shared" si="19"/>
        <v>FF 26th year of service</v>
      </c>
      <c r="AC69" s="165"/>
      <c r="AD69" s="165"/>
      <c r="AE69" s="206">
        <f t="shared" ca="1" si="25"/>
        <v>4.5629999999999997</v>
      </c>
      <c r="AF69" s="206">
        <f t="shared" ca="1" si="25"/>
        <v>6.2279999999999998</v>
      </c>
    </row>
    <row r="70" spans="1:32">
      <c r="A70" s="41"/>
      <c r="B70" s="41"/>
      <c r="C70" s="41"/>
      <c r="D70" s="41"/>
      <c r="E70" s="41"/>
      <c r="F70" s="41"/>
      <c r="G70" s="41"/>
      <c r="H70" s="41"/>
      <c r="I70" s="41"/>
      <c r="J70" s="54"/>
      <c r="K70" s="54"/>
      <c r="L70" s="54"/>
      <c r="M70" s="54"/>
      <c r="N70" s="44"/>
      <c r="P70" s="230"/>
    </row>
    <row r="71" spans="1:32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230"/>
    </row>
    <row r="72" spans="1:32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230"/>
    </row>
    <row r="73" spans="1:32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230"/>
    </row>
    <row r="74" spans="1:32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230"/>
    </row>
    <row r="75" spans="1:32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230"/>
    </row>
    <row r="76" spans="1:32">
      <c r="A76" s="41"/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44"/>
      <c r="P76" s="230"/>
    </row>
    <row r="77" spans="1:32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44"/>
      <c r="P77" s="230"/>
    </row>
    <row r="78" spans="1:32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44"/>
      <c r="P78" s="230"/>
    </row>
    <row r="79" spans="1:32"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44"/>
      <c r="P79" s="230"/>
    </row>
    <row r="80" spans="1:32">
      <c r="A80" s="41"/>
      <c r="B80" s="52"/>
    </row>
    <row r="81" spans="1:15">
      <c r="A81" s="41"/>
    </row>
    <row r="82" spans="1:15">
      <c r="A82" s="51"/>
    </row>
    <row r="83" spans="1:15">
      <c r="A83" s="51"/>
      <c r="B83" s="288"/>
      <c r="C83" s="288"/>
      <c r="D83" s="288"/>
      <c r="E83" s="288"/>
      <c r="F83" s="288"/>
      <c r="G83" s="288"/>
      <c r="H83" s="288"/>
      <c r="I83" s="288"/>
      <c r="J83" s="288"/>
      <c r="K83" s="288"/>
      <c r="L83" s="288"/>
      <c r="M83" s="288"/>
      <c r="N83" s="288"/>
    </row>
    <row r="84" spans="1:15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  <c r="O84" s="244"/>
    </row>
    <row r="85" spans="1:15">
      <c r="A85" s="51"/>
      <c r="B85" s="52"/>
      <c r="O85" s="244"/>
    </row>
    <row r="86" spans="1:15">
      <c r="A86" s="51"/>
      <c r="B86" s="52"/>
      <c r="O86" s="244"/>
    </row>
    <row r="87" spans="1:15">
      <c r="A87" s="51"/>
      <c r="B87" s="52"/>
      <c r="O87" s="244"/>
    </row>
    <row r="88" spans="1:15">
      <c r="A88" s="51"/>
      <c r="B88" s="52"/>
      <c r="O88" s="244"/>
    </row>
    <row r="89" spans="1:15">
      <c r="A89" s="51"/>
      <c r="B89" s="52"/>
      <c r="O89" s="244"/>
    </row>
    <row r="90" spans="1:15">
      <c r="A90" s="51"/>
      <c r="B90" s="52"/>
      <c r="O90" s="244"/>
    </row>
    <row r="91" spans="1:15">
      <c r="A91" s="51"/>
      <c r="B91" s="52"/>
      <c r="O91" s="244"/>
    </row>
    <row r="92" spans="1:15">
      <c r="A92" s="51"/>
      <c r="B92" s="52"/>
      <c r="O92" s="244"/>
    </row>
    <row r="93" spans="1:15">
      <c r="A93" s="51"/>
      <c r="B93" s="52"/>
      <c r="O93" s="244"/>
    </row>
    <row r="94" spans="1:15">
      <c r="A94" s="51"/>
      <c r="B94" s="52"/>
      <c r="O94" s="244"/>
    </row>
    <row r="95" spans="1:15">
      <c r="A95" s="51"/>
      <c r="B95" s="52"/>
      <c r="O95" s="244"/>
    </row>
    <row r="96" spans="1:15">
      <c r="A96" s="51"/>
      <c r="B96" s="52"/>
      <c r="O96" s="244"/>
    </row>
    <row r="97" spans="1:15">
      <c r="A97" s="51"/>
      <c r="B97" s="52"/>
      <c r="O97" s="244"/>
    </row>
    <row r="98" spans="1:15">
      <c r="B98" s="52"/>
      <c r="O98" s="244"/>
    </row>
    <row r="99" spans="1:15">
      <c r="B99" s="52"/>
      <c r="O99" s="244"/>
    </row>
    <row r="100" spans="1:15">
      <c r="B100" s="52"/>
    </row>
    <row r="101" spans="1:15">
      <c r="B101" s="52"/>
    </row>
  </sheetData>
  <mergeCells count="5">
    <mergeCell ref="F2:L2"/>
    <mergeCell ref="B83:N83"/>
    <mergeCell ref="B84:N84"/>
    <mergeCell ref="U27:V27"/>
    <mergeCell ref="G6:L6"/>
  </mergeCells>
  <pageMargins left="0.25" right="0.25" top="0.75" bottom="0.75" header="0.3" footer="0.3"/>
  <pageSetup orientation="landscape" r:id="rId1"/>
  <headerFooter alignWithMargins="0"/>
  <rowBreaks count="2" manualBreakCount="2">
    <brk id="27" max="16383" man="1"/>
    <brk id="54" max="16383" man="1"/>
  </rowBreaks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3A18D-B404-41F0-85ED-CC182E0F6E7A}">
  <sheetPr codeName="Sheet26"/>
  <dimension ref="A1:AJ102"/>
  <sheetViews>
    <sheetView showGridLines="0" topLeftCell="A8" workbookViewId="0">
      <selection activeCell="S8" sqref="S8:Z70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9.73046875" style="42" customWidth="1"/>
    <col min="4" max="4" width="25.3984375" style="42" hidden="1" customWidth="1"/>
    <col min="5" max="5" width="10.59765625" style="42" hidden="1" customWidth="1"/>
    <col min="6" max="6" width="6.3984375" style="42" hidden="1" customWidth="1"/>
    <col min="7" max="11" width="6.59765625" style="42" customWidth="1"/>
    <col min="12" max="12" width="6.59765625" style="42" bestFit="1" customWidth="1"/>
    <col min="13" max="13" width="6.3984375" style="42" customWidth="1"/>
    <col min="14" max="14" width="46.3984375" style="46" customWidth="1"/>
    <col min="15" max="15" width="23.86328125" style="228" hidden="1" customWidth="1"/>
    <col min="16" max="16" width="14.86328125" style="229" hidden="1" customWidth="1"/>
    <col min="17" max="17" width="11.59765625" style="229" hidden="1" customWidth="1"/>
    <col min="18" max="18" width="7.86328125" style="229" hidden="1" customWidth="1"/>
    <col min="19" max="19" width="24.3984375" style="232" hidden="1" customWidth="1"/>
    <col min="20" max="20" width="25.3984375" style="229" hidden="1" customWidth="1"/>
    <col min="21" max="21" width="9.3984375" style="229" hidden="1" customWidth="1"/>
    <col min="22" max="26" width="7.3984375" style="229" hidden="1" customWidth="1"/>
    <col min="27" max="27" width="31.1328125" style="42" hidden="1" customWidth="1"/>
    <col min="28" max="28" width="24.3984375" style="205" hidden="1" customWidth="1"/>
    <col min="29" max="29" width="5.86328125" style="205" hidden="1" customWidth="1"/>
    <col min="30" max="30" width="32.1328125" style="205" hidden="1" customWidth="1"/>
    <col min="31" max="31" width="9.3984375" style="205" hidden="1" customWidth="1"/>
    <col min="32" max="36" width="7.3984375" style="205" hidden="1" customWidth="1"/>
    <col min="37" max="16384" width="9.1328125" style="42"/>
  </cols>
  <sheetData>
    <row r="1" spans="1:36">
      <c r="A1" s="42" t="s">
        <v>310</v>
      </c>
    </row>
    <row r="2" spans="1:36" ht="15.75">
      <c r="A2" s="245" t="s">
        <v>140</v>
      </c>
      <c r="B2" s="169"/>
      <c r="C2" s="169"/>
      <c r="D2" s="169"/>
      <c r="E2" s="170"/>
      <c r="F2" s="41"/>
      <c r="G2" s="192"/>
      <c r="H2" s="41"/>
      <c r="O2" s="228" t="s">
        <v>288</v>
      </c>
      <c r="P2" s="229" t="s">
        <v>291</v>
      </c>
      <c r="Q2" s="230" t="s">
        <v>289</v>
      </c>
      <c r="R2" s="231">
        <v>1.0249999999999999</v>
      </c>
    </row>
    <row r="3" spans="1:36" ht="15.75">
      <c r="A3" s="246" t="s">
        <v>306</v>
      </c>
      <c r="B3" s="44"/>
      <c r="C3" s="44"/>
      <c r="D3" s="41"/>
      <c r="E3" s="41"/>
      <c r="F3" s="282" t="s">
        <v>80</v>
      </c>
      <c r="G3" s="282"/>
      <c r="H3" s="282"/>
      <c r="I3" s="282"/>
      <c r="J3" s="282"/>
      <c r="K3" s="282"/>
      <c r="L3" s="282"/>
      <c r="M3" s="41"/>
      <c r="N3" s="44"/>
      <c r="U3" s="229">
        <v>3</v>
      </c>
      <c r="V3" s="229">
        <v>4</v>
      </c>
      <c r="W3" s="229">
        <v>5</v>
      </c>
      <c r="X3" s="229">
        <v>6</v>
      </c>
      <c r="Y3" s="229">
        <v>7</v>
      </c>
      <c r="Z3" s="229">
        <v>8</v>
      </c>
    </row>
    <row r="4" spans="1:36">
      <c r="A4" s="247" t="str">
        <f>"Increase %: "&amp;TEXT(R2-1,"0.00%")</f>
        <v>Increase %: 2.50%</v>
      </c>
      <c r="B4" s="44"/>
      <c r="C4" s="44"/>
      <c r="D4" s="41"/>
      <c r="E4" s="41"/>
      <c r="F4" s="43"/>
      <c r="G4" s="43"/>
      <c r="H4" s="43"/>
      <c r="I4" s="43"/>
      <c r="J4" s="43"/>
      <c r="K4" s="43"/>
      <c r="L4" s="43"/>
      <c r="M4" s="41"/>
      <c r="N4" s="44"/>
    </row>
    <row r="5" spans="1:36">
      <c r="A5" s="50" t="s">
        <v>307</v>
      </c>
      <c r="B5" s="44"/>
      <c r="C5" s="44"/>
      <c r="D5" s="41"/>
      <c r="E5" s="41"/>
      <c r="F5" s="43"/>
      <c r="G5" s="43"/>
      <c r="H5" s="43"/>
      <c r="I5" s="43"/>
      <c r="J5" s="43"/>
      <c r="K5" s="43"/>
      <c r="L5" s="43"/>
      <c r="M5" s="41"/>
      <c r="N5" s="44"/>
    </row>
    <row r="6" spans="1:36" ht="14.65" thickBot="1">
      <c r="A6" s="50"/>
      <c r="B6" s="44"/>
      <c r="C6" s="44"/>
      <c r="D6" s="41"/>
      <c r="E6" s="41"/>
      <c r="F6" s="43"/>
      <c r="G6" s="43"/>
      <c r="H6" s="43"/>
      <c r="I6" s="43"/>
      <c r="J6" s="43"/>
      <c r="K6" s="43"/>
      <c r="L6" s="43"/>
      <c r="M6" s="41"/>
      <c r="N6" s="44"/>
      <c r="O6" s="240" t="s">
        <v>301</v>
      </c>
      <c r="AB6" s="248" t="s">
        <v>302</v>
      </c>
    </row>
    <row r="7" spans="1:36" ht="14.65" thickBot="1">
      <c r="A7" s="43"/>
      <c r="B7" s="44"/>
      <c r="C7" s="44"/>
      <c r="D7" s="41"/>
      <c r="E7" s="41"/>
      <c r="F7" s="43"/>
      <c r="G7" s="283" t="s">
        <v>300</v>
      </c>
      <c r="H7" s="284"/>
      <c r="I7" s="284"/>
      <c r="J7" s="284"/>
      <c r="K7" s="284"/>
      <c r="L7" s="285"/>
      <c r="M7" s="41"/>
      <c r="N7" s="44"/>
    </row>
    <row r="8" spans="1:36" ht="30" customHeight="1" thickBot="1">
      <c r="A8" s="175" t="s">
        <v>137</v>
      </c>
      <c r="B8" s="176" t="s">
        <v>114</v>
      </c>
      <c r="C8" s="176" t="s">
        <v>138</v>
      </c>
      <c r="D8" s="177" t="s">
        <v>4</v>
      </c>
      <c r="E8" s="177" t="s">
        <v>5</v>
      </c>
      <c r="F8" s="249" t="s">
        <v>6</v>
      </c>
      <c r="G8" s="255" t="s">
        <v>7</v>
      </c>
      <c r="H8" s="256" t="s">
        <v>8</v>
      </c>
      <c r="I8" s="256" t="s">
        <v>9</v>
      </c>
      <c r="J8" s="256" t="s">
        <v>10</v>
      </c>
      <c r="K8" s="256" t="s">
        <v>11</v>
      </c>
      <c r="L8" s="257" t="s">
        <v>12</v>
      </c>
      <c r="M8" s="45"/>
      <c r="N8" s="42"/>
      <c r="O8" s="233" t="s">
        <v>285</v>
      </c>
      <c r="P8" s="233" t="s">
        <v>277</v>
      </c>
      <c r="Q8" s="233" t="s">
        <v>138</v>
      </c>
      <c r="R8" s="233" t="s">
        <v>286</v>
      </c>
      <c r="S8" s="233" t="s">
        <v>137</v>
      </c>
      <c r="T8" s="234" t="s">
        <v>279</v>
      </c>
      <c r="U8" s="234" t="s">
        <v>7</v>
      </c>
      <c r="V8" s="234" t="s">
        <v>8</v>
      </c>
      <c r="W8" s="234" t="s">
        <v>9</v>
      </c>
      <c r="X8" s="234" t="s">
        <v>10</v>
      </c>
      <c r="Y8" s="234" t="s">
        <v>11</v>
      </c>
      <c r="Z8" s="234" t="s">
        <v>12</v>
      </c>
      <c r="AB8" s="204" t="s">
        <v>137</v>
      </c>
      <c r="AC8" s="164" t="s">
        <v>138</v>
      </c>
      <c r="AD8" s="161" t="s">
        <v>279</v>
      </c>
      <c r="AE8" s="161" t="s">
        <v>7</v>
      </c>
      <c r="AF8" s="161" t="s">
        <v>8</v>
      </c>
      <c r="AG8" s="161" t="s">
        <v>9</v>
      </c>
      <c r="AH8" s="161" t="s">
        <v>10</v>
      </c>
      <c r="AI8" s="161" t="s">
        <v>11</v>
      </c>
      <c r="AJ8" s="161" t="s">
        <v>12</v>
      </c>
    </row>
    <row r="9" spans="1:36" ht="18.75" customHeight="1">
      <c r="A9" s="179" t="s">
        <v>157</v>
      </c>
      <c r="B9" s="173" t="s">
        <v>115</v>
      </c>
      <c r="C9" s="173" t="str">
        <f>Q9</f>
        <v>CFG 5</v>
      </c>
      <c r="D9" s="174" t="s">
        <v>84</v>
      </c>
      <c r="E9" s="171"/>
      <c r="F9" s="250" t="s">
        <v>17</v>
      </c>
      <c r="G9" s="258">
        <f ca="1">U9*$O9</f>
        <v>1879.4420499999999</v>
      </c>
      <c r="H9" s="259"/>
      <c r="I9" s="259"/>
      <c r="J9" s="259"/>
      <c r="K9" s="259"/>
      <c r="L9" s="260"/>
      <c r="M9" s="45"/>
      <c r="N9" s="42"/>
      <c r="O9" s="235">
        <v>80</v>
      </c>
      <c r="P9" s="236" t="s">
        <v>143</v>
      </c>
      <c r="Q9" s="237" t="s">
        <v>156</v>
      </c>
      <c r="R9" s="237" t="s">
        <v>287</v>
      </c>
      <c r="S9" s="237" t="str">
        <f t="shared" ref="S9:S22" si="0">A9</f>
        <v>04440C</v>
      </c>
      <c r="T9" s="235" t="s">
        <v>84</v>
      </c>
      <c r="U9" s="238" cm="1">
        <f t="array" aca="1" ref="U9" ca="1">IF($R9="Y",VLOOKUP($S9,INDIRECT($P$2),U$3,0)*INDIRECT($Q$2),VLOOKUP($S9,INDIRECT($P$2),U$3,0))</f>
        <v>23.493025624999998</v>
      </c>
      <c r="V9" s="238"/>
      <c r="W9" s="238"/>
      <c r="X9" s="238"/>
      <c r="Y9" s="238"/>
      <c r="Z9" s="238"/>
      <c r="AB9" s="165" t="str">
        <f>S9</f>
        <v>04440C</v>
      </c>
      <c r="AC9" s="165" t="str">
        <f t="shared" ref="AC9:AC22" si="1">C9</f>
        <v>CFG 5</v>
      </c>
      <c r="AD9" s="165" t="str">
        <f>T9</f>
        <v>Fire Cadet</v>
      </c>
      <c r="AE9" s="206">
        <f ca="1">ROUND(U9,3)</f>
        <v>23.492999999999999</v>
      </c>
      <c r="AF9" s="165"/>
      <c r="AG9" s="165"/>
      <c r="AH9" s="165"/>
      <c r="AI9" s="165"/>
      <c r="AJ9" s="165"/>
    </row>
    <row r="10" spans="1:36" ht="18.75" customHeight="1">
      <c r="A10" s="180" t="s">
        <v>15</v>
      </c>
      <c r="B10" s="63" t="s">
        <v>115</v>
      </c>
      <c r="C10" s="173" t="str">
        <f t="shared" ref="C10:C22" si="2">Q10</f>
        <v>CFH 1</v>
      </c>
      <c r="D10" s="59" t="s">
        <v>16</v>
      </c>
      <c r="E10" s="59">
        <v>353</v>
      </c>
      <c r="F10" s="251" t="s">
        <v>17</v>
      </c>
      <c r="G10" s="253">
        <f ca="1">U10*$O10</f>
        <v>2684.8705064999999</v>
      </c>
      <c r="H10" s="188">
        <f t="shared" ref="H10:L10" ca="1" si="3">V10*$O10</f>
        <v>2792.2561484999997</v>
      </c>
      <c r="I10" s="188">
        <f t="shared" ca="1" si="3"/>
        <v>2904.0014639999995</v>
      </c>
      <c r="J10" s="188">
        <f t="shared" ca="1" si="3"/>
        <v>3020.1064529999999</v>
      </c>
      <c r="K10" s="188">
        <f t="shared" ca="1" si="3"/>
        <v>3140.9153002499997</v>
      </c>
      <c r="L10" s="189">
        <f t="shared" ca="1" si="3"/>
        <v>3266.5427339999997</v>
      </c>
      <c r="M10" s="47"/>
      <c r="N10" s="42"/>
      <c r="O10" s="235">
        <v>109.2</v>
      </c>
      <c r="P10" s="237" t="s">
        <v>144</v>
      </c>
      <c r="Q10" s="237" t="s">
        <v>235</v>
      </c>
      <c r="R10" s="237" t="s">
        <v>287</v>
      </c>
      <c r="S10" s="237" t="str">
        <f t="shared" si="0"/>
        <v>04450C</v>
      </c>
      <c r="T10" s="235" t="s">
        <v>16</v>
      </c>
      <c r="U10" s="238" cm="1">
        <f t="array" aca="1" ref="U10" ca="1">IF($R10="Y",VLOOKUP($S10,INDIRECT($P$2),U$3,0)*INDIRECT($Q$2),VLOOKUP($S10,INDIRECT($P$2),U$3,0))</f>
        <v>24.586726249999998</v>
      </c>
      <c r="V10" s="238" cm="1">
        <f t="array" aca="1" ref="V10" ca="1">IF($R10="Y",VLOOKUP($S10,INDIRECT($P$2),V$3,0)*INDIRECT($Q$2),VLOOKUP($S10,INDIRECT($P$2),V$3,0))</f>
        <v>25.570111249999997</v>
      </c>
      <c r="W10" s="238" cm="1">
        <f t="array" aca="1" ref="W10" ca="1">IF($R10="Y",VLOOKUP($S10,INDIRECT($P$2),W$3,0)*INDIRECT($Q$2),VLOOKUP($S10,INDIRECT($P$2),W$3,0))</f>
        <v>26.593419999999995</v>
      </c>
      <c r="X10" s="238" cm="1">
        <f t="array" aca="1" ref="X10" ca="1">IF($R10="Y",VLOOKUP($S10,INDIRECT($P$2),X$3,0)*INDIRECT($Q$2),VLOOKUP($S10,INDIRECT($P$2),X$3,0))</f>
        <v>27.656652499999996</v>
      </c>
      <c r="Y10" s="238" cm="1">
        <f t="array" aca="1" ref="Y10" ca="1">IF($R10="Y",VLOOKUP($S10,INDIRECT($P$2),Y$3,0)*INDIRECT($Q$2),VLOOKUP($S10,INDIRECT($P$2),Y$3,0))</f>
        <v>28.762960624999998</v>
      </c>
      <c r="Z10" s="238" cm="1">
        <f t="array" aca="1" ref="Z10" ca="1">IF($R10="Y",VLOOKUP($S10,INDIRECT($P$2),Z$3,0)*INDIRECT($Q$2),VLOOKUP($S10,INDIRECT($P$2),Z$3,0))</f>
        <v>29.913394999999994</v>
      </c>
      <c r="AB10" s="165" t="str">
        <f>S10</f>
        <v>04450C</v>
      </c>
      <c r="AC10" s="165" t="str">
        <f t="shared" si="1"/>
        <v>CFH 1</v>
      </c>
      <c r="AD10" s="165" t="str">
        <f>T10</f>
        <v>Fire Fighter</v>
      </c>
      <c r="AE10" s="206">
        <f ca="1">ROUND(U10,3)</f>
        <v>24.587</v>
      </c>
      <c r="AF10" s="206">
        <f t="shared" ref="AF10:AJ23" ca="1" si="4">ROUND(V10,3)</f>
        <v>25.57</v>
      </c>
      <c r="AG10" s="206">
        <f t="shared" ca="1" si="4"/>
        <v>26.593</v>
      </c>
      <c r="AH10" s="206">
        <f t="shared" ca="1" si="4"/>
        <v>27.657</v>
      </c>
      <c r="AI10" s="206">
        <f t="shared" ca="1" si="4"/>
        <v>28.763000000000002</v>
      </c>
      <c r="AJ10" s="206">
        <f t="shared" ca="1" si="4"/>
        <v>29.913</v>
      </c>
    </row>
    <row r="11" spans="1:36" ht="18.75" customHeight="1">
      <c r="A11" s="180" t="s">
        <v>19</v>
      </c>
      <c r="B11" s="63" t="s">
        <v>115</v>
      </c>
      <c r="C11" s="173" t="str">
        <f t="shared" si="2"/>
        <v>CFI 1</v>
      </c>
      <c r="D11" s="59" t="s">
        <v>20</v>
      </c>
      <c r="E11" s="59">
        <v>353</v>
      </c>
      <c r="F11" s="251" t="s">
        <v>17</v>
      </c>
      <c r="G11" s="253">
        <f t="shared" ref="G11:G12" ca="1" si="5">U11*$O11</f>
        <v>2684.8932000000004</v>
      </c>
      <c r="H11" s="188">
        <f t="shared" ref="H11:H12" ca="1" si="6">V11*$O11</f>
        <v>2792.3090999999986</v>
      </c>
      <c r="I11" s="188">
        <f t="shared" ref="I11:I12" ca="1" si="7">W11*$O11</f>
        <v>2904.0115499999993</v>
      </c>
      <c r="J11" s="188">
        <f t="shared" ref="J11:J12" ca="1" si="8">X11*$O11</f>
        <v>3020.1686500000001</v>
      </c>
      <c r="K11" s="188">
        <f t="shared" ref="K11:K12" ca="1" si="9">Y11*$O11</f>
        <v>3140.9484999999995</v>
      </c>
      <c r="L11" s="189">
        <f t="shared" ref="L11:L12" ca="1" si="10">Z11*$O11</f>
        <v>3266.6032499999988</v>
      </c>
      <c r="M11" s="47"/>
      <c r="N11" s="42"/>
      <c r="O11" s="235">
        <v>80</v>
      </c>
      <c r="P11" s="237" t="s">
        <v>143</v>
      </c>
      <c r="Q11" s="237" t="s">
        <v>234</v>
      </c>
      <c r="R11" s="237" t="s">
        <v>287</v>
      </c>
      <c r="S11" s="237" t="str">
        <f t="shared" si="0"/>
        <v>04451C</v>
      </c>
      <c r="T11" s="235" t="s">
        <v>20</v>
      </c>
      <c r="U11" s="238" cm="1">
        <f t="array" aca="1" ref="U11" ca="1">IF($R11="Y",VLOOKUP($S11,INDIRECT($P$2),U$3,0)*INDIRECT($Q$2),VLOOKUP($S11,INDIRECT($P$2),U$3,0))</f>
        <v>33.561165000000003</v>
      </c>
      <c r="V11" s="238" cm="1">
        <f t="array" aca="1" ref="V11" ca="1">IF($R11="Y",VLOOKUP($S11,INDIRECT($P$2),V$3,0)*INDIRECT($Q$2),VLOOKUP($S11,INDIRECT($P$2),V$3,0))</f>
        <v>34.903863749999985</v>
      </c>
      <c r="W11" s="238" cm="1">
        <f t="array" aca="1" ref="W11" ca="1">IF($R11="Y",VLOOKUP($S11,INDIRECT($P$2),W$3,0)*INDIRECT($Q$2),VLOOKUP($S11,INDIRECT($P$2),W$3,0))</f>
        <v>36.300144374999988</v>
      </c>
      <c r="X11" s="238" cm="1">
        <f t="array" aca="1" ref="X11" ca="1">IF($R11="Y",VLOOKUP($S11,INDIRECT($P$2),X$3,0)*INDIRECT($Q$2),VLOOKUP($S11,INDIRECT($P$2),X$3,0))</f>
        <v>37.752108124999999</v>
      </c>
      <c r="Y11" s="238" cm="1">
        <f t="array" aca="1" ref="Y11" ca="1">IF($R11="Y",VLOOKUP($S11,INDIRECT($P$2),Y$3,0)*INDIRECT($Q$2),VLOOKUP($S11,INDIRECT($P$2),Y$3,0))</f>
        <v>39.261856249999994</v>
      </c>
      <c r="Z11" s="238" cm="1">
        <f t="array" aca="1" ref="Z11" ca="1">IF($R11="Y",VLOOKUP($S11,INDIRECT($P$2),Z$3,0)*INDIRECT($Q$2),VLOOKUP($S11,INDIRECT($P$2),Z$3,0))</f>
        <v>40.832540624999986</v>
      </c>
      <c r="AB11" s="165" t="str">
        <f t="shared" ref="AB11:AB23" si="11">S11</f>
        <v>04451C</v>
      </c>
      <c r="AC11" s="165" t="str">
        <f t="shared" si="1"/>
        <v>CFI 1</v>
      </c>
      <c r="AD11" s="165" t="str">
        <f t="shared" ref="AD11:AD23" si="12">T11</f>
        <v>Fire Fighter (40 hrs.)</v>
      </c>
      <c r="AE11" s="206">
        <f t="shared" ref="AE11:AE23" ca="1" si="13">ROUND(U11,3)</f>
        <v>33.561</v>
      </c>
      <c r="AF11" s="206">
        <f t="shared" ca="1" si="4"/>
        <v>34.904000000000003</v>
      </c>
      <c r="AG11" s="206">
        <f t="shared" ca="1" si="4"/>
        <v>36.299999999999997</v>
      </c>
      <c r="AH11" s="206">
        <f t="shared" ca="1" si="4"/>
        <v>37.752000000000002</v>
      </c>
      <c r="AI11" s="206">
        <f t="shared" ca="1" si="4"/>
        <v>39.262</v>
      </c>
      <c r="AJ11" s="206">
        <f t="shared" ca="1" si="4"/>
        <v>40.832999999999998</v>
      </c>
    </row>
    <row r="12" spans="1:36" ht="18.75" customHeight="1">
      <c r="A12" s="180" t="s">
        <v>21</v>
      </c>
      <c r="B12" s="63" t="s">
        <v>115</v>
      </c>
      <c r="C12" s="173" t="str">
        <f t="shared" si="2"/>
        <v>CFF 1</v>
      </c>
      <c r="D12" s="59" t="s">
        <v>22</v>
      </c>
      <c r="E12" s="59"/>
      <c r="F12" s="251" t="s">
        <v>17</v>
      </c>
      <c r="G12" s="253">
        <f t="shared" ca="1" si="5"/>
        <v>2684.8705064999999</v>
      </c>
      <c r="H12" s="188">
        <f t="shared" ca="1" si="6"/>
        <v>2792.2561484999997</v>
      </c>
      <c r="I12" s="188">
        <f t="shared" ca="1" si="7"/>
        <v>2904.0014639999995</v>
      </c>
      <c r="J12" s="188">
        <f t="shared" ca="1" si="8"/>
        <v>3020.1064529999999</v>
      </c>
      <c r="K12" s="188">
        <f t="shared" ca="1" si="9"/>
        <v>3140.9153002499997</v>
      </c>
      <c r="L12" s="189">
        <f t="shared" ca="1" si="10"/>
        <v>3266.5427339999997</v>
      </c>
      <c r="M12" s="47"/>
      <c r="N12" s="42"/>
      <c r="O12" s="235">
        <v>109.2</v>
      </c>
      <c r="P12" s="237" t="s">
        <v>144</v>
      </c>
      <c r="Q12" s="237" t="s">
        <v>148</v>
      </c>
      <c r="R12" s="237" t="s">
        <v>287</v>
      </c>
      <c r="S12" s="237" t="str">
        <f t="shared" si="0"/>
        <v>04388C</v>
      </c>
      <c r="T12" s="235" t="s">
        <v>22</v>
      </c>
      <c r="U12" s="238" cm="1">
        <f t="array" aca="1" ref="U12" ca="1">IF($R12="Y",VLOOKUP($S12,INDIRECT($P$2),U$3,0)*INDIRECT($Q$2),VLOOKUP($S12,INDIRECT($P$2),U$3,0))</f>
        <v>24.586726249999998</v>
      </c>
      <c r="V12" s="238" cm="1">
        <f t="array" aca="1" ref="V12" ca="1">IF($R12="Y",VLOOKUP($S12,INDIRECT($P$2),V$3,0)*INDIRECT($Q$2),VLOOKUP($S12,INDIRECT($P$2),V$3,0))</f>
        <v>25.570111249999997</v>
      </c>
      <c r="W12" s="238" cm="1">
        <f t="array" aca="1" ref="W12" ca="1">IF($R12="Y",VLOOKUP($S12,INDIRECT($P$2),W$3,0)*INDIRECT($Q$2),VLOOKUP($S12,INDIRECT($P$2),W$3,0))</f>
        <v>26.593419999999995</v>
      </c>
      <c r="X12" s="238" cm="1">
        <f t="array" aca="1" ref="X12" ca="1">IF($R12="Y",VLOOKUP($S12,INDIRECT($P$2),X$3,0)*INDIRECT($Q$2),VLOOKUP($S12,INDIRECT($P$2),X$3,0))</f>
        <v>27.656652499999996</v>
      </c>
      <c r="Y12" s="238" cm="1">
        <f t="array" aca="1" ref="Y12" ca="1">IF($R12="Y",VLOOKUP($S12,INDIRECT($P$2),Y$3,0)*INDIRECT($Q$2),VLOOKUP($S12,INDIRECT($P$2),Y$3,0))</f>
        <v>28.762960624999998</v>
      </c>
      <c r="Z12" s="238" cm="1">
        <f t="array" aca="1" ref="Z12" ca="1">IF($R12="Y",VLOOKUP($S12,INDIRECT($P$2),Z$3,0)*INDIRECT($Q$2),VLOOKUP($S12,INDIRECT($P$2),Z$3,0))</f>
        <v>29.913394999999994</v>
      </c>
      <c r="AB12" s="165" t="str">
        <f t="shared" si="11"/>
        <v>04388C</v>
      </c>
      <c r="AC12" s="165" t="str">
        <f t="shared" si="1"/>
        <v>CFF 1</v>
      </c>
      <c r="AD12" s="165" t="str">
        <f t="shared" si="12"/>
        <v>Fire Inspector 1</v>
      </c>
      <c r="AE12" s="206">
        <f t="shared" ca="1" si="13"/>
        <v>24.587</v>
      </c>
      <c r="AF12" s="206">
        <f t="shared" ca="1" si="4"/>
        <v>25.57</v>
      </c>
      <c r="AG12" s="206">
        <f t="shared" ca="1" si="4"/>
        <v>26.593</v>
      </c>
      <c r="AH12" s="206">
        <f t="shared" ca="1" si="4"/>
        <v>27.657</v>
      </c>
      <c r="AI12" s="206">
        <f t="shared" ca="1" si="4"/>
        <v>28.763000000000002</v>
      </c>
      <c r="AJ12" s="206">
        <f t="shared" ca="1" si="4"/>
        <v>29.913</v>
      </c>
    </row>
    <row r="13" spans="1:36" ht="18.75" customHeight="1">
      <c r="A13" s="180" t="s">
        <v>23</v>
      </c>
      <c r="B13" s="63" t="s">
        <v>115</v>
      </c>
      <c r="C13" s="173" t="str">
        <f t="shared" si="2"/>
        <v>CFF 2</v>
      </c>
      <c r="D13" s="59" t="s">
        <v>24</v>
      </c>
      <c r="E13" s="59"/>
      <c r="F13" s="251" t="s">
        <v>17</v>
      </c>
      <c r="G13" s="253">
        <f t="shared" ref="G13:G22" ca="1" si="14">U13*$O13</f>
        <v>3328.2665324999998</v>
      </c>
      <c r="H13" s="188">
        <f t="shared" ref="H13:H22" ca="1" si="15">V13*$O13</f>
        <v>3458.942009249999</v>
      </c>
      <c r="I13" s="188">
        <f t="shared" ref="I13:I22" ca="1" si="16">W13*$O13</f>
        <v>3669.12416325</v>
      </c>
      <c r="J13" s="188"/>
      <c r="K13" s="188"/>
      <c r="L13" s="189"/>
      <c r="M13" s="47"/>
      <c r="N13" s="42"/>
      <c r="O13" s="235">
        <v>109.2</v>
      </c>
      <c r="P13" s="237" t="s">
        <v>144</v>
      </c>
      <c r="Q13" s="237" t="s">
        <v>150</v>
      </c>
      <c r="R13" s="237" t="s">
        <v>287</v>
      </c>
      <c r="S13" s="237" t="str">
        <f t="shared" si="0"/>
        <v>04420C</v>
      </c>
      <c r="T13" s="235" t="s">
        <v>24</v>
      </c>
      <c r="U13" s="238" cm="1">
        <f t="array" aca="1" ref="U13" ca="1">IF($R13="Y",VLOOKUP($S13,INDIRECT($P$2),U$3,0)*INDIRECT($Q$2),VLOOKUP($S13,INDIRECT($P$2),U$3,0))</f>
        <v>30.478631249999999</v>
      </c>
      <c r="V13" s="238" cm="1">
        <f t="array" aca="1" ref="V13" ca="1">IF($R13="Y",VLOOKUP($S13,INDIRECT($P$2),V$3,0)*INDIRECT($Q$2),VLOOKUP($S13,INDIRECT($P$2),V$3,0))</f>
        <v>31.675293124999993</v>
      </c>
      <c r="W13" s="238" cm="1">
        <f t="array" aca="1" ref="W13" ca="1">IF($R13="Y",VLOOKUP($S13,INDIRECT($P$2),W$3,0)*INDIRECT($Q$2),VLOOKUP($S13,INDIRECT($P$2),W$3,0))</f>
        <v>33.600038124999998</v>
      </c>
      <c r="X13" s="238"/>
      <c r="Y13" s="238"/>
      <c r="Z13" s="238"/>
      <c r="AB13" s="165" t="str">
        <f t="shared" si="11"/>
        <v>04420C</v>
      </c>
      <c r="AC13" s="165" t="str">
        <f t="shared" si="1"/>
        <v>CFF 2</v>
      </c>
      <c r="AD13" s="165" t="str">
        <f t="shared" si="12"/>
        <v>Fire Motor Operator</v>
      </c>
      <c r="AE13" s="206">
        <f t="shared" ca="1" si="13"/>
        <v>30.478999999999999</v>
      </c>
      <c r="AF13" s="206">
        <f t="shared" ca="1" si="4"/>
        <v>31.675000000000001</v>
      </c>
      <c r="AG13" s="206">
        <f t="shared" ca="1" si="4"/>
        <v>33.6</v>
      </c>
      <c r="AH13" s="165"/>
      <c r="AI13" s="165"/>
      <c r="AJ13" s="165"/>
    </row>
    <row r="14" spans="1:36" ht="18.75" customHeight="1">
      <c r="A14" s="180" t="s">
        <v>195</v>
      </c>
      <c r="B14" s="63" t="s">
        <v>115</v>
      </c>
      <c r="C14" s="173" t="str">
        <f t="shared" si="2"/>
        <v>CFG 2</v>
      </c>
      <c r="D14" s="59" t="s">
        <v>26</v>
      </c>
      <c r="E14" s="59"/>
      <c r="F14" s="251" t="s">
        <v>17</v>
      </c>
      <c r="G14" s="253">
        <f t="shared" ca="1" si="14"/>
        <v>3328.2959499999988</v>
      </c>
      <c r="H14" s="188">
        <f t="shared" ca="1" si="15"/>
        <v>3458.9936999999991</v>
      </c>
      <c r="I14" s="188">
        <f t="shared" ca="1" si="16"/>
        <v>3669.1186999999991</v>
      </c>
      <c r="J14" s="188"/>
      <c r="K14" s="188"/>
      <c r="L14" s="189"/>
      <c r="M14" s="47"/>
      <c r="N14" s="42"/>
      <c r="O14" s="235">
        <v>80</v>
      </c>
      <c r="P14" s="237" t="s">
        <v>143</v>
      </c>
      <c r="Q14" s="237" t="s">
        <v>151</v>
      </c>
      <c r="R14" s="237" t="s">
        <v>287</v>
      </c>
      <c r="S14" s="237" t="str">
        <f t="shared" si="0"/>
        <v>04421C</v>
      </c>
      <c r="T14" s="235" t="s">
        <v>26</v>
      </c>
      <c r="U14" s="238" cm="1">
        <f t="array" aca="1" ref="U14" ca="1">IF($R14="Y",VLOOKUP($S14,INDIRECT($P$2),U$3,0)*INDIRECT($Q$2),VLOOKUP($S14,INDIRECT($P$2),U$3,0))</f>
        <v>41.603699374999984</v>
      </c>
      <c r="V14" s="238" cm="1">
        <f t="array" aca="1" ref="V14" ca="1">IF($R14="Y",VLOOKUP($S14,INDIRECT($P$2),V$3,0)*INDIRECT($Q$2),VLOOKUP($S14,INDIRECT($P$2),V$3,0))</f>
        <v>43.23742124999999</v>
      </c>
      <c r="W14" s="238" cm="1">
        <f t="array" aca="1" ref="W14" ca="1">IF($R14="Y",VLOOKUP($S14,INDIRECT($P$2),W$3,0)*INDIRECT($Q$2),VLOOKUP($S14,INDIRECT($P$2),W$3,0))</f>
        <v>45.863983749999989</v>
      </c>
      <c r="X14" s="238"/>
      <c r="Y14" s="238"/>
      <c r="Z14" s="238"/>
      <c r="AB14" s="165" t="str">
        <f t="shared" si="11"/>
        <v>04421C</v>
      </c>
      <c r="AC14" s="165" t="str">
        <f t="shared" si="1"/>
        <v>CFG 2</v>
      </c>
      <c r="AD14" s="165" t="str">
        <f t="shared" si="12"/>
        <v>Fire Motor Operator (40 hrs.)</v>
      </c>
      <c r="AE14" s="206">
        <f t="shared" ca="1" si="13"/>
        <v>41.603999999999999</v>
      </c>
      <c r="AF14" s="206">
        <f t="shared" ca="1" si="4"/>
        <v>43.237000000000002</v>
      </c>
      <c r="AG14" s="206">
        <f t="shared" ca="1" si="4"/>
        <v>45.863999999999997</v>
      </c>
      <c r="AH14" s="165"/>
      <c r="AI14" s="165"/>
      <c r="AJ14" s="165"/>
    </row>
    <row r="15" spans="1:36" ht="18.75" customHeight="1">
      <c r="A15" s="180" t="s">
        <v>27</v>
      </c>
      <c r="B15" s="63" t="s">
        <v>115</v>
      </c>
      <c r="C15" s="173" t="str">
        <f t="shared" si="2"/>
        <v>CFF 2</v>
      </c>
      <c r="D15" s="59" t="s">
        <v>28</v>
      </c>
      <c r="E15" s="59"/>
      <c r="F15" s="251" t="s">
        <v>17</v>
      </c>
      <c r="G15" s="253">
        <f t="shared" ca="1" si="14"/>
        <v>3328.2665324999998</v>
      </c>
      <c r="H15" s="188">
        <f t="shared" ca="1" si="15"/>
        <v>3458.942009249999</v>
      </c>
      <c r="I15" s="188">
        <f t="shared" ca="1" si="16"/>
        <v>3669.12416325</v>
      </c>
      <c r="J15" s="188"/>
      <c r="K15" s="188"/>
      <c r="L15" s="189"/>
      <c r="M15" s="47"/>
      <c r="N15" s="42"/>
      <c r="O15" s="235">
        <v>109.2</v>
      </c>
      <c r="P15" s="237" t="s">
        <v>144</v>
      </c>
      <c r="Q15" s="237" t="s">
        <v>150</v>
      </c>
      <c r="R15" s="237" t="s">
        <v>287</v>
      </c>
      <c r="S15" s="237" t="str">
        <f t="shared" si="0"/>
        <v>04389C</v>
      </c>
      <c r="T15" s="235" t="s">
        <v>28</v>
      </c>
      <c r="U15" s="238" cm="1">
        <f t="array" aca="1" ref="U15" ca="1">IF($R15="Y",VLOOKUP($S15,INDIRECT($P$2),U$3,0)*INDIRECT($Q$2),VLOOKUP($S15,INDIRECT($P$2),U$3,0))</f>
        <v>30.478631249999999</v>
      </c>
      <c r="V15" s="238" cm="1">
        <f t="array" aca="1" ref="V15" ca="1">IF($R15="Y",VLOOKUP($S15,INDIRECT($P$2),V$3,0)*INDIRECT($Q$2),VLOOKUP($S15,INDIRECT($P$2),V$3,0))</f>
        <v>31.675293124999993</v>
      </c>
      <c r="W15" s="238" cm="1">
        <f t="array" aca="1" ref="W15" ca="1">IF($R15="Y",VLOOKUP($S15,INDIRECT($P$2),W$3,0)*INDIRECT($Q$2),VLOOKUP($S15,INDIRECT($P$2),W$3,0))</f>
        <v>33.600038124999998</v>
      </c>
      <c r="X15" s="238"/>
      <c r="Y15" s="238"/>
      <c r="Z15" s="238"/>
      <c r="AB15" s="165" t="str">
        <f t="shared" si="11"/>
        <v>04389C</v>
      </c>
      <c r="AC15" s="165" t="str">
        <f t="shared" si="1"/>
        <v>CFF 2</v>
      </c>
      <c r="AD15" s="165" t="str">
        <f t="shared" si="12"/>
        <v>Fire Inspector 2</v>
      </c>
      <c r="AE15" s="206">
        <f t="shared" ca="1" si="13"/>
        <v>30.478999999999999</v>
      </c>
      <c r="AF15" s="206">
        <f t="shared" ca="1" si="4"/>
        <v>31.675000000000001</v>
      </c>
      <c r="AG15" s="206">
        <f t="shared" ca="1" si="4"/>
        <v>33.6</v>
      </c>
      <c r="AH15" s="165"/>
      <c r="AI15" s="165"/>
      <c r="AJ15" s="165"/>
    </row>
    <row r="16" spans="1:36" ht="18.75" customHeight="1">
      <c r="A16" s="180" t="s">
        <v>29</v>
      </c>
      <c r="B16" s="63" t="s">
        <v>115</v>
      </c>
      <c r="C16" s="173" t="str">
        <f t="shared" si="2"/>
        <v>CFF 3</v>
      </c>
      <c r="D16" s="59" t="s">
        <v>30</v>
      </c>
      <c r="E16" s="59"/>
      <c r="F16" s="251" t="s">
        <v>17</v>
      </c>
      <c r="G16" s="253">
        <f t="shared" ca="1" si="14"/>
        <v>3772.6090447499987</v>
      </c>
      <c r="H16" s="188">
        <f t="shared" ca="1" si="15"/>
        <v>3922.2146827499996</v>
      </c>
      <c r="I16" s="188">
        <f t="shared" ca="1" si="16"/>
        <v>4162.2261817499984</v>
      </c>
      <c r="J16" s="188"/>
      <c r="K16" s="188"/>
      <c r="L16" s="189"/>
      <c r="M16" s="47"/>
      <c r="N16" s="42"/>
      <c r="O16" s="235">
        <v>109.2</v>
      </c>
      <c r="P16" s="237" t="s">
        <v>144</v>
      </c>
      <c r="Q16" s="237" t="s">
        <v>152</v>
      </c>
      <c r="R16" s="237" t="s">
        <v>287</v>
      </c>
      <c r="S16" s="237" t="str">
        <f t="shared" si="0"/>
        <v>04370C</v>
      </c>
      <c r="T16" s="235" t="s">
        <v>30</v>
      </c>
      <c r="U16" s="238" cm="1">
        <f t="array" aca="1" ref="U16" ca="1">IF($R16="Y",VLOOKUP($S16,INDIRECT($P$2),U$3,0)*INDIRECT($Q$2),VLOOKUP($S16,INDIRECT($P$2),U$3,0))</f>
        <v>34.547701874999987</v>
      </c>
      <c r="V16" s="238" cm="1">
        <f t="array" aca="1" ref="V16" ca="1">IF($R16="Y",VLOOKUP($S16,INDIRECT($P$2),V$3,0)*INDIRECT($Q$2),VLOOKUP($S16,INDIRECT($P$2),V$3,0))</f>
        <v>35.917716874999996</v>
      </c>
      <c r="W16" s="238" cm="1">
        <f t="array" aca="1" ref="W16" ca="1">IF($R16="Y",VLOOKUP($S16,INDIRECT($P$2),W$3,0)*INDIRECT($Q$2),VLOOKUP($S16,INDIRECT($P$2),W$3,0))</f>
        <v>38.115624374999989</v>
      </c>
      <c r="X16" s="238"/>
      <c r="Y16" s="238"/>
      <c r="Z16" s="238"/>
      <c r="AB16" s="165" t="str">
        <f t="shared" si="11"/>
        <v>04370C</v>
      </c>
      <c r="AC16" s="165" t="str">
        <f t="shared" si="1"/>
        <v>CFF 3</v>
      </c>
      <c r="AD16" s="165" t="str">
        <f t="shared" si="12"/>
        <v>Fire Captain</v>
      </c>
      <c r="AE16" s="206">
        <f t="shared" ca="1" si="13"/>
        <v>34.548000000000002</v>
      </c>
      <c r="AF16" s="206">
        <f t="shared" ca="1" si="4"/>
        <v>35.917999999999999</v>
      </c>
      <c r="AG16" s="206">
        <f t="shared" ca="1" si="4"/>
        <v>38.116</v>
      </c>
      <c r="AH16" s="165"/>
      <c r="AI16" s="165"/>
      <c r="AJ16" s="165"/>
    </row>
    <row r="17" spans="1:36" ht="18.75" customHeight="1">
      <c r="A17" s="180" t="s">
        <v>31</v>
      </c>
      <c r="B17" s="63" t="s">
        <v>115</v>
      </c>
      <c r="C17" s="173" t="str">
        <f t="shared" si="2"/>
        <v>CFG 3</v>
      </c>
      <c r="D17" s="59" t="s">
        <v>32</v>
      </c>
      <c r="E17" s="59"/>
      <c r="F17" s="251" t="s">
        <v>17</v>
      </c>
      <c r="G17" s="253">
        <f t="shared" ca="1" si="14"/>
        <v>3772.5842499999994</v>
      </c>
      <c r="H17" s="188">
        <f t="shared" ca="1" si="15"/>
        <v>3922.1932499999994</v>
      </c>
      <c r="I17" s="188">
        <f t="shared" ca="1" si="16"/>
        <v>4162.2400499999994</v>
      </c>
      <c r="J17" s="188"/>
      <c r="K17" s="188"/>
      <c r="L17" s="189"/>
      <c r="M17" s="47"/>
      <c r="N17" s="42"/>
      <c r="O17" s="235">
        <v>80</v>
      </c>
      <c r="P17" s="237" t="s">
        <v>143</v>
      </c>
      <c r="Q17" s="237" t="s">
        <v>153</v>
      </c>
      <c r="R17" s="237" t="s">
        <v>287</v>
      </c>
      <c r="S17" s="237" t="str">
        <f t="shared" si="0"/>
        <v>04371C</v>
      </c>
      <c r="T17" s="235" t="s">
        <v>32</v>
      </c>
      <c r="U17" s="238" cm="1">
        <f t="array" aca="1" ref="U17" ca="1">IF($R17="Y",VLOOKUP($S17,INDIRECT($P$2),U$3,0)*INDIRECT($Q$2),VLOOKUP($S17,INDIRECT($P$2),U$3,0))</f>
        <v>47.157303124999991</v>
      </c>
      <c r="V17" s="238" cm="1">
        <f t="array" aca="1" ref="V17" ca="1">IF($R17="Y",VLOOKUP($S17,INDIRECT($P$2),V$3,0)*INDIRECT($Q$2),VLOOKUP($S17,INDIRECT($P$2),V$3,0))</f>
        <v>49.027415624999989</v>
      </c>
      <c r="W17" s="238" cm="1">
        <f t="array" aca="1" ref="W17" ca="1">IF($R17="Y",VLOOKUP($S17,INDIRECT($P$2),W$3,0)*INDIRECT($Q$2),VLOOKUP($S17,INDIRECT($P$2),W$3,0))</f>
        <v>52.02800062499999</v>
      </c>
      <c r="X17" s="238"/>
      <c r="Y17" s="238"/>
      <c r="Z17" s="238"/>
      <c r="AB17" s="165" t="str">
        <f t="shared" si="11"/>
        <v>04371C</v>
      </c>
      <c r="AC17" s="165" t="str">
        <f t="shared" si="1"/>
        <v>CFG 3</v>
      </c>
      <c r="AD17" s="165" t="str">
        <f t="shared" si="12"/>
        <v>Fire Captain (40 hrs.)</v>
      </c>
      <c r="AE17" s="206">
        <f t="shared" ca="1" si="13"/>
        <v>47.156999999999996</v>
      </c>
      <c r="AF17" s="206">
        <f t="shared" ca="1" si="4"/>
        <v>49.027000000000001</v>
      </c>
      <c r="AG17" s="206">
        <f t="shared" ca="1" si="4"/>
        <v>52.027999999999999</v>
      </c>
      <c r="AH17" s="165"/>
      <c r="AI17" s="165"/>
      <c r="AJ17" s="165"/>
    </row>
    <row r="18" spans="1:36" ht="18.75" customHeight="1">
      <c r="A18" s="180" t="s">
        <v>33</v>
      </c>
      <c r="B18" s="63" t="s">
        <v>115</v>
      </c>
      <c r="C18" s="173" t="str">
        <f t="shared" si="2"/>
        <v>CFF 3</v>
      </c>
      <c r="D18" s="59" t="s">
        <v>34</v>
      </c>
      <c r="E18" s="59"/>
      <c r="F18" s="251" t="s">
        <v>17</v>
      </c>
      <c r="G18" s="253">
        <f t="shared" ca="1" si="14"/>
        <v>3772.6090447499987</v>
      </c>
      <c r="H18" s="188">
        <f t="shared" ca="1" si="15"/>
        <v>3922.2146827499996</v>
      </c>
      <c r="I18" s="188">
        <f t="shared" ca="1" si="16"/>
        <v>4162.2261817499984</v>
      </c>
      <c r="J18" s="188"/>
      <c r="K18" s="188"/>
      <c r="L18" s="189"/>
      <c r="M18" s="47"/>
      <c r="N18" s="42"/>
      <c r="O18" s="235">
        <v>109.2</v>
      </c>
      <c r="P18" s="237" t="s">
        <v>144</v>
      </c>
      <c r="Q18" s="237" t="s">
        <v>152</v>
      </c>
      <c r="R18" s="237" t="s">
        <v>287</v>
      </c>
      <c r="S18" s="237" t="str">
        <f t="shared" si="0"/>
        <v>04400C</v>
      </c>
      <c r="T18" s="235" t="s">
        <v>34</v>
      </c>
      <c r="U18" s="238" cm="1">
        <f t="array" aca="1" ref="U18" ca="1">IF($R18="Y",VLOOKUP($S18,INDIRECT($P$2),U$3,0)*INDIRECT($Q$2),VLOOKUP($S18,INDIRECT($P$2),U$3,0))</f>
        <v>34.547701874999987</v>
      </c>
      <c r="V18" s="238" cm="1">
        <f t="array" aca="1" ref="V18" ca="1">IF($R18="Y",VLOOKUP($S18,INDIRECT($P$2),V$3,0)*INDIRECT($Q$2),VLOOKUP($S18,INDIRECT($P$2),V$3,0))</f>
        <v>35.917716874999996</v>
      </c>
      <c r="W18" s="238" cm="1">
        <f t="array" aca="1" ref="W18" ca="1">IF($R18="Y",VLOOKUP($S18,INDIRECT($P$2),W$3,0)*INDIRECT($Q$2),VLOOKUP($S18,INDIRECT($P$2),W$3,0))</f>
        <v>38.115624374999989</v>
      </c>
      <c r="X18" s="238"/>
      <c r="Y18" s="238"/>
      <c r="Z18" s="238"/>
      <c r="AB18" s="165" t="str">
        <f t="shared" si="11"/>
        <v>04400C</v>
      </c>
      <c r="AC18" s="165" t="str">
        <f t="shared" si="1"/>
        <v>CFF 3</v>
      </c>
      <c r="AD18" s="165" t="str">
        <f t="shared" si="12"/>
        <v>Fire Investigator</v>
      </c>
      <c r="AE18" s="206">
        <f t="shared" ca="1" si="13"/>
        <v>34.548000000000002</v>
      </c>
      <c r="AF18" s="206">
        <f t="shared" ca="1" si="4"/>
        <v>35.917999999999999</v>
      </c>
      <c r="AG18" s="206">
        <f t="shared" ca="1" si="4"/>
        <v>38.116</v>
      </c>
      <c r="AH18" s="165"/>
      <c r="AI18" s="165"/>
      <c r="AJ18" s="165"/>
    </row>
    <row r="19" spans="1:36" ht="18.75" customHeight="1">
      <c r="A19" s="180" t="s">
        <v>35</v>
      </c>
      <c r="B19" s="63" t="s">
        <v>115</v>
      </c>
      <c r="C19" s="173" t="str">
        <f t="shared" si="2"/>
        <v>CFG 3</v>
      </c>
      <c r="D19" s="59" t="s">
        <v>36</v>
      </c>
      <c r="E19" s="59"/>
      <c r="F19" s="251" t="s">
        <v>17</v>
      </c>
      <c r="G19" s="253">
        <f t="shared" ca="1" si="14"/>
        <v>3772.5842499999994</v>
      </c>
      <c r="H19" s="188">
        <f t="shared" ca="1" si="15"/>
        <v>3922.1932499999994</v>
      </c>
      <c r="I19" s="188">
        <f t="shared" ca="1" si="16"/>
        <v>4162.2400499999994</v>
      </c>
      <c r="J19" s="188"/>
      <c r="K19" s="188"/>
      <c r="L19" s="189"/>
      <c r="M19" s="47"/>
      <c r="N19" s="42"/>
      <c r="O19" s="235">
        <v>80</v>
      </c>
      <c r="P19" s="237" t="s">
        <v>143</v>
      </c>
      <c r="Q19" s="237" t="s">
        <v>153</v>
      </c>
      <c r="R19" s="237" t="s">
        <v>287</v>
      </c>
      <c r="S19" s="237" t="str">
        <f t="shared" si="0"/>
        <v>04401C</v>
      </c>
      <c r="T19" s="235" t="s">
        <v>36</v>
      </c>
      <c r="U19" s="238" cm="1">
        <f t="array" aca="1" ref="U19" ca="1">IF($R19="Y",VLOOKUP($S19,INDIRECT($P$2),U$3,0)*INDIRECT($Q$2),VLOOKUP($S19,INDIRECT($P$2),U$3,0))</f>
        <v>47.157303124999991</v>
      </c>
      <c r="V19" s="238" cm="1">
        <f t="array" aca="1" ref="V19" ca="1">IF($R19="Y",VLOOKUP($S19,INDIRECT($P$2),V$3,0)*INDIRECT($Q$2),VLOOKUP($S19,INDIRECT($P$2),V$3,0))</f>
        <v>49.027415624999989</v>
      </c>
      <c r="W19" s="238" cm="1">
        <f t="array" aca="1" ref="W19" ca="1">IF($R19="Y",VLOOKUP($S19,INDIRECT($P$2),W$3,0)*INDIRECT($Q$2),VLOOKUP($S19,INDIRECT($P$2),W$3,0))</f>
        <v>52.02800062499999</v>
      </c>
      <c r="X19" s="238"/>
      <c r="Y19" s="238"/>
      <c r="Z19" s="238"/>
      <c r="AB19" s="165" t="str">
        <f t="shared" si="11"/>
        <v>04401C</v>
      </c>
      <c r="AC19" s="165" t="str">
        <f t="shared" si="1"/>
        <v>CFG 3</v>
      </c>
      <c r="AD19" s="165" t="str">
        <f t="shared" si="12"/>
        <v>Fire Investigator (40 hrs.)</v>
      </c>
      <c r="AE19" s="206">
        <f t="shared" ca="1" si="13"/>
        <v>47.156999999999996</v>
      </c>
      <c r="AF19" s="206">
        <f t="shared" ca="1" si="4"/>
        <v>49.027000000000001</v>
      </c>
      <c r="AG19" s="206">
        <f t="shared" ca="1" si="4"/>
        <v>52.027999999999999</v>
      </c>
      <c r="AH19" s="165"/>
      <c r="AI19" s="165"/>
      <c r="AJ19" s="165"/>
    </row>
    <row r="20" spans="1:36" ht="18.75" customHeight="1">
      <c r="A20" s="180" t="s">
        <v>37</v>
      </c>
      <c r="B20" s="63" t="s">
        <v>115</v>
      </c>
      <c r="C20" s="173" t="str">
        <f t="shared" si="2"/>
        <v>CFF 3</v>
      </c>
      <c r="D20" s="59" t="s">
        <v>38</v>
      </c>
      <c r="E20" s="59"/>
      <c r="F20" s="251" t="s">
        <v>17</v>
      </c>
      <c r="G20" s="253">
        <f t="shared" ca="1" si="14"/>
        <v>3772.6090447499987</v>
      </c>
      <c r="H20" s="188">
        <f t="shared" ca="1" si="15"/>
        <v>3922.2146827499996</v>
      </c>
      <c r="I20" s="188">
        <f t="shared" ca="1" si="16"/>
        <v>4162.2261817499984</v>
      </c>
      <c r="J20" s="188"/>
      <c r="K20" s="188"/>
      <c r="L20" s="189"/>
      <c r="M20" s="47"/>
      <c r="N20" s="42"/>
      <c r="O20" s="235">
        <v>109.2</v>
      </c>
      <c r="P20" s="237" t="s">
        <v>144</v>
      </c>
      <c r="Q20" s="237" t="s">
        <v>152</v>
      </c>
      <c r="R20" s="237" t="s">
        <v>287</v>
      </c>
      <c r="S20" s="237" t="str">
        <f t="shared" si="0"/>
        <v>04390C</v>
      </c>
      <c r="T20" s="235" t="s">
        <v>38</v>
      </c>
      <c r="U20" s="238" cm="1">
        <f t="array" aca="1" ref="U20" ca="1">IF($R20="Y",VLOOKUP($S20,INDIRECT($P$2),U$3,0)*INDIRECT($Q$2),VLOOKUP($S20,INDIRECT($P$2),U$3,0))</f>
        <v>34.547701874999987</v>
      </c>
      <c r="V20" s="238" cm="1">
        <f t="array" aca="1" ref="V20" ca="1">IF($R20="Y",VLOOKUP($S20,INDIRECT($P$2),V$3,0)*INDIRECT($Q$2),VLOOKUP($S20,INDIRECT($P$2),V$3,0))</f>
        <v>35.917716874999996</v>
      </c>
      <c r="W20" s="238" cm="1">
        <f t="array" aca="1" ref="W20" ca="1">IF($R20="Y",VLOOKUP($S20,INDIRECT($P$2),W$3,0)*INDIRECT($Q$2),VLOOKUP($S20,INDIRECT($P$2),W$3,0))</f>
        <v>38.115624374999989</v>
      </c>
      <c r="X20" s="238"/>
      <c r="Y20" s="238"/>
      <c r="Z20" s="238"/>
      <c r="AB20" s="165" t="str">
        <f t="shared" si="11"/>
        <v>04390C</v>
      </c>
      <c r="AC20" s="165" t="str">
        <f t="shared" si="1"/>
        <v>CFF 3</v>
      </c>
      <c r="AD20" s="165" t="str">
        <f t="shared" si="12"/>
        <v>Fire Inspector 3</v>
      </c>
      <c r="AE20" s="206">
        <f t="shared" ca="1" si="13"/>
        <v>34.548000000000002</v>
      </c>
      <c r="AF20" s="206">
        <f t="shared" ca="1" si="4"/>
        <v>35.917999999999999</v>
      </c>
      <c r="AG20" s="206">
        <f t="shared" ca="1" si="4"/>
        <v>38.116</v>
      </c>
      <c r="AH20" s="165"/>
      <c r="AI20" s="165"/>
      <c r="AJ20" s="165"/>
    </row>
    <row r="21" spans="1:36" ht="18.75" customHeight="1">
      <c r="A21" s="180" t="s">
        <v>41</v>
      </c>
      <c r="B21" s="63" t="s">
        <v>115</v>
      </c>
      <c r="C21" s="173" t="str">
        <f t="shared" si="2"/>
        <v>CFF 4</v>
      </c>
      <c r="D21" s="65" t="s">
        <v>113</v>
      </c>
      <c r="E21" s="59"/>
      <c r="F21" s="251" t="s">
        <v>17</v>
      </c>
      <c r="G21" s="253">
        <f t="shared" ca="1" si="14"/>
        <v>3861.17925375</v>
      </c>
      <c r="H21" s="188">
        <f t="shared" ca="1" si="15"/>
        <v>3926.5743562499988</v>
      </c>
      <c r="I21" s="188">
        <f t="shared" ca="1" si="16"/>
        <v>3993.3461977499987</v>
      </c>
      <c r="J21" s="188">
        <f t="shared" ref="J21:J22" ca="1" si="17">X21*$O21</f>
        <v>4060.1180392499987</v>
      </c>
      <c r="K21" s="188">
        <f t="shared" ref="K21:K22" ca="1" si="18">Y21*$O21</f>
        <v>4307.8163309999991</v>
      </c>
      <c r="L21" s="189"/>
      <c r="M21" s="47"/>
      <c r="N21" s="42"/>
      <c r="O21" s="235">
        <v>109.2</v>
      </c>
      <c r="P21" s="237" t="s">
        <v>144</v>
      </c>
      <c r="Q21" s="237" t="s">
        <v>154</v>
      </c>
      <c r="R21" s="237" t="s">
        <v>287</v>
      </c>
      <c r="S21" s="237" t="str">
        <f t="shared" si="0"/>
        <v>04436C</v>
      </c>
      <c r="T21" s="239" t="s">
        <v>113</v>
      </c>
      <c r="U21" s="238" cm="1">
        <f t="array" aca="1" ref="U21" ca="1">IF($R21="Y",VLOOKUP($S21,INDIRECT($P$2),U$3,0)*INDIRECT($Q$2),VLOOKUP($S21,INDIRECT($P$2),U$3,0))</f>
        <v>35.358784374999999</v>
      </c>
      <c r="V21" s="238" cm="1">
        <f t="array" aca="1" ref="V21" ca="1">IF($R21="Y",VLOOKUP($S21,INDIRECT($P$2),V$3,0)*INDIRECT($Q$2),VLOOKUP($S21,INDIRECT($P$2),V$3,0))</f>
        <v>35.957640624999989</v>
      </c>
      <c r="W21" s="238" cm="1">
        <f t="array" aca="1" ref="W21" ca="1">IF($R21="Y",VLOOKUP($S21,INDIRECT($P$2),W$3,0)*INDIRECT($Q$2),VLOOKUP($S21,INDIRECT($P$2),W$3,0))</f>
        <v>36.569104374999988</v>
      </c>
      <c r="X21" s="238" cm="1">
        <f t="array" aca="1" ref="X21" ca="1">IF($R21="Y",VLOOKUP($S21,INDIRECT($P$2),X$3,0)*INDIRECT($Q$2),VLOOKUP($S21,INDIRECT($P$2),X$3,0))</f>
        <v>37.180568124999986</v>
      </c>
      <c r="Y21" s="238" cm="1">
        <f t="array" aca="1" ref="Y21" ca="1">IF($R21="Y",VLOOKUP($S21,INDIRECT($P$2),Y$3,0)*INDIRECT($Q$2),VLOOKUP($S21,INDIRECT($P$2),Y$3,0))</f>
        <v>39.448867499999992</v>
      </c>
      <c r="Z21" s="238"/>
      <c r="AB21" s="165" t="str">
        <f t="shared" si="11"/>
        <v>04436C</v>
      </c>
      <c r="AC21" s="165" t="str">
        <f t="shared" si="1"/>
        <v>CFF 4</v>
      </c>
      <c r="AD21" s="165" t="str">
        <f t="shared" si="12"/>
        <v xml:space="preserve">Fire Staff Captain </v>
      </c>
      <c r="AE21" s="206">
        <f t="shared" ca="1" si="13"/>
        <v>35.359000000000002</v>
      </c>
      <c r="AF21" s="206">
        <f t="shared" ca="1" si="4"/>
        <v>35.957999999999998</v>
      </c>
      <c r="AG21" s="206">
        <f t="shared" ca="1" si="4"/>
        <v>36.569000000000003</v>
      </c>
      <c r="AH21" s="206">
        <f t="shared" ca="1" si="4"/>
        <v>37.180999999999997</v>
      </c>
      <c r="AI21" s="165"/>
      <c r="AJ21" s="165"/>
    </row>
    <row r="22" spans="1:36" ht="18.75" customHeight="1" thickBot="1">
      <c r="A22" s="181" t="s">
        <v>39</v>
      </c>
      <c r="B22" s="182" t="s">
        <v>115</v>
      </c>
      <c r="C22" s="182" t="str">
        <f t="shared" si="2"/>
        <v>CFG 4</v>
      </c>
      <c r="D22" s="183" t="s">
        <v>42</v>
      </c>
      <c r="E22" s="184"/>
      <c r="F22" s="252" t="s">
        <v>17</v>
      </c>
      <c r="G22" s="254">
        <f t="shared" ca="1" si="14"/>
        <v>3861.1729499999997</v>
      </c>
      <c r="H22" s="190">
        <f t="shared" ca="1" si="15"/>
        <v>3926.5638499999995</v>
      </c>
      <c r="I22" s="190">
        <f t="shared" ca="1" si="16"/>
        <v>3993.3835999999992</v>
      </c>
      <c r="J22" s="190">
        <f t="shared" ca="1" si="17"/>
        <v>4060.1192999999989</v>
      </c>
      <c r="K22" s="190">
        <f t="shared" ca="1" si="18"/>
        <v>4307.8146499999993</v>
      </c>
      <c r="L22" s="191"/>
      <c r="M22" s="47"/>
      <c r="N22" s="42"/>
      <c r="O22" s="235">
        <v>80</v>
      </c>
      <c r="P22" s="237" t="s">
        <v>143</v>
      </c>
      <c r="Q22" s="237" t="s">
        <v>155</v>
      </c>
      <c r="R22" s="237" t="s">
        <v>287</v>
      </c>
      <c r="S22" s="237" t="str">
        <f t="shared" si="0"/>
        <v>04435C</v>
      </c>
      <c r="T22" s="235" t="s">
        <v>42</v>
      </c>
      <c r="U22" s="238" cm="1">
        <f t="array" aca="1" ref="U22" ca="1">IF($R22="Y",VLOOKUP($S22,INDIRECT($P$2),U$3,0)*INDIRECT($Q$2),VLOOKUP($S22,INDIRECT($P$2),U$3,0))</f>
        <v>48.264661874999994</v>
      </c>
      <c r="V22" s="238" cm="1">
        <f t="array" aca="1" ref="V22" ca="1">IF($R22="Y",VLOOKUP($S22,INDIRECT($P$2),V$3,0)*INDIRECT($Q$2),VLOOKUP($S22,INDIRECT($P$2),V$3,0))</f>
        <v>49.082048124999993</v>
      </c>
      <c r="W22" s="238" cm="1">
        <f t="array" aca="1" ref="W22" ca="1">IF($R22="Y",VLOOKUP($S22,INDIRECT($P$2),W$3,0)*INDIRECT($Q$2),VLOOKUP($S22,INDIRECT($P$2),W$3,0))</f>
        <v>49.917294999999989</v>
      </c>
      <c r="X22" s="238" cm="1">
        <f t="array" aca="1" ref="X22" ca="1">IF($R22="Y",VLOOKUP($S22,INDIRECT($P$2),X$3,0)*INDIRECT($Q$2),VLOOKUP($S22,INDIRECT($P$2),X$3,0))</f>
        <v>50.751491249999987</v>
      </c>
      <c r="Y22" s="238" cm="1">
        <f t="array" aca="1" ref="Y22" ca="1">IF($R22="Y",VLOOKUP($S22,INDIRECT($P$2),Y$3,0)*INDIRECT($Q$2),VLOOKUP($S22,INDIRECT($P$2),Y$3,0))</f>
        <v>53.847683124999989</v>
      </c>
      <c r="Z22" s="238"/>
      <c r="AB22" s="165" t="str">
        <f t="shared" si="11"/>
        <v>04435C</v>
      </c>
      <c r="AC22" s="165" t="str">
        <f t="shared" si="1"/>
        <v>CFG 4</v>
      </c>
      <c r="AD22" s="165" t="str">
        <f t="shared" si="12"/>
        <v>Fire Staff Captain (40 hrs.)</v>
      </c>
      <c r="AE22" s="206">
        <f t="shared" ca="1" si="13"/>
        <v>48.265000000000001</v>
      </c>
      <c r="AF22" s="206">
        <f t="shared" ca="1" si="4"/>
        <v>49.082000000000001</v>
      </c>
      <c r="AG22" s="206">
        <f t="shared" ca="1" si="4"/>
        <v>49.917000000000002</v>
      </c>
      <c r="AH22" s="206">
        <f t="shared" ca="1" si="4"/>
        <v>50.750999999999998</v>
      </c>
      <c r="AI22" s="165"/>
      <c r="AJ22" s="165"/>
    </row>
    <row r="23" spans="1:36" ht="18.75" customHeight="1">
      <c r="A23"/>
      <c r="B23"/>
      <c r="C23"/>
      <c r="D23"/>
      <c r="E23"/>
      <c r="F23"/>
      <c r="G23"/>
      <c r="H23"/>
      <c r="I23"/>
      <c r="J23"/>
      <c r="K23"/>
      <c r="L23"/>
      <c r="M23" s="47"/>
      <c r="N23" s="42"/>
      <c r="O23" s="235">
        <v>109.2</v>
      </c>
      <c r="P23" s="237" t="s">
        <v>284</v>
      </c>
      <c r="Q23" s="237" t="s">
        <v>235</v>
      </c>
      <c r="R23" s="237" t="s">
        <v>287</v>
      </c>
      <c r="S23" s="237" t="s">
        <v>280</v>
      </c>
      <c r="T23" s="235" t="s">
        <v>281</v>
      </c>
      <c r="U23" s="238" cm="1">
        <f t="array" aca="1" ref="U23" ca="1">IF($R23="Y",VLOOKUP($S23,INDIRECT($P$2),U$3,0)*INDIRECT($Q$2),VLOOKUP($S23,INDIRECT($P$2),U$3,0))</f>
        <v>24.586726249999998</v>
      </c>
      <c r="V23" s="238" cm="1">
        <f t="array" aca="1" ref="V23" ca="1">IF($R23="Y",VLOOKUP($S23,INDIRECT($P$2),V$3,0)*INDIRECT($Q$2),VLOOKUP($S23,INDIRECT($P$2),V$3,0))</f>
        <v>25.570111249999997</v>
      </c>
      <c r="W23" s="238" cm="1">
        <f t="array" aca="1" ref="W23" ca="1">IF($R23="Y",VLOOKUP($S23,INDIRECT($P$2),W$3,0)*INDIRECT($Q$2),VLOOKUP($S23,INDIRECT($P$2),W$3,0))</f>
        <v>26.593419999999995</v>
      </c>
      <c r="X23" s="238" cm="1">
        <f t="array" aca="1" ref="X23" ca="1">IF($R23="Y",VLOOKUP($S23,INDIRECT($P$2),X$3,0)*INDIRECT($Q$2),VLOOKUP($S23,INDIRECT($P$2),X$3,0))</f>
        <v>27.656652499999996</v>
      </c>
      <c r="Y23" s="238" cm="1">
        <f t="array" aca="1" ref="Y23" ca="1">IF($R23="Y",VLOOKUP($S23,INDIRECT($P$2),Y$3,0)*INDIRECT($Q$2),VLOOKUP($S23,INDIRECT($P$2),Y$3,0))</f>
        <v>28.762960624999998</v>
      </c>
      <c r="Z23" s="238" cm="1">
        <f t="array" aca="1" ref="Z23" ca="1">IF($R23="Y",VLOOKUP($S23,INDIRECT($P$2),Z$3,0)*INDIRECT($Q$2),VLOOKUP($S23,INDIRECT($P$2),Z$3,0))</f>
        <v>29.913394999999994</v>
      </c>
      <c r="AA23" s="42" t="s">
        <v>283</v>
      </c>
      <c r="AB23" s="165" t="str">
        <f t="shared" si="11"/>
        <v>04452C</v>
      </c>
      <c r="AC23" s="165" t="str">
        <f>Q23</f>
        <v>CFH 1</v>
      </c>
      <c r="AD23" s="165" t="str">
        <f t="shared" si="12"/>
        <v>Firerighter Bell Curve-C</v>
      </c>
      <c r="AE23" s="206">
        <f t="shared" ca="1" si="13"/>
        <v>24.587</v>
      </c>
      <c r="AF23" s="206">
        <f t="shared" ca="1" si="4"/>
        <v>25.57</v>
      </c>
      <c r="AG23" s="206">
        <f t="shared" ca="1" si="4"/>
        <v>26.593</v>
      </c>
      <c r="AH23" s="206">
        <f t="shared" ca="1" si="4"/>
        <v>27.657</v>
      </c>
      <c r="AI23" s="206">
        <f t="shared" ca="1" si="4"/>
        <v>28.763000000000002</v>
      </c>
      <c r="AJ23" s="206">
        <f t="shared" ca="1" si="4"/>
        <v>29.913</v>
      </c>
    </row>
    <row r="24" spans="1:36" ht="27.75" customHeight="1">
      <c r="A24" s="41" t="s">
        <v>303</v>
      </c>
      <c r="C24" s="46"/>
      <c r="G24" s="46"/>
      <c r="H24" s="46"/>
      <c r="I24" s="46"/>
      <c r="J24" s="46"/>
      <c r="K24" s="46"/>
      <c r="L24" s="46"/>
      <c r="M24" s="46"/>
      <c r="AD24" s="205" t="s">
        <v>299</v>
      </c>
    </row>
    <row r="25" spans="1:36" ht="17.25" customHeight="1">
      <c r="A25" s="50" t="s">
        <v>50</v>
      </c>
      <c r="C25" s="46"/>
      <c r="G25" s="46"/>
      <c r="H25" s="46"/>
      <c r="I25" s="46"/>
      <c r="J25" s="46"/>
      <c r="K25" s="46"/>
      <c r="L25" s="46"/>
      <c r="M25" s="46"/>
    </row>
    <row r="26" spans="1:36" ht="17.25" customHeight="1">
      <c r="A26" s="42" t="s">
        <v>51</v>
      </c>
      <c r="C26" s="46"/>
      <c r="G26" s="46"/>
      <c r="H26" s="46"/>
      <c r="I26" s="46"/>
      <c r="J26" s="46"/>
      <c r="K26" s="46"/>
      <c r="L26" s="46"/>
      <c r="M26" s="46"/>
    </row>
    <row r="27" spans="1:36" ht="17.25" customHeight="1">
      <c r="A27" s="50" t="s">
        <v>52</v>
      </c>
      <c r="B27" s="46"/>
      <c r="C27" s="46"/>
    </row>
    <row r="28" spans="1:36" ht="17.25" customHeight="1">
      <c r="A28" s="50"/>
      <c r="B28" s="46"/>
      <c r="C28" s="46"/>
      <c r="P28" s="228"/>
      <c r="Q28" s="228"/>
      <c r="R28" s="228"/>
      <c r="S28" s="240"/>
      <c r="U28" s="302" t="s">
        <v>278</v>
      </c>
      <c r="V28" s="303"/>
      <c r="W28" s="228"/>
    </row>
    <row r="29" spans="1:36" ht="27.75" customHeight="1">
      <c r="A29" s="41" t="s">
        <v>136</v>
      </c>
      <c r="B29" s="42" t="s">
        <v>160</v>
      </c>
      <c r="P29" s="228"/>
      <c r="Q29" s="228"/>
      <c r="R29" s="228"/>
      <c r="S29" s="240"/>
      <c r="U29" s="234" t="s">
        <v>230</v>
      </c>
      <c r="V29" s="234" t="s">
        <v>231</v>
      </c>
      <c r="W29" s="228"/>
      <c r="AB29" s="207">
        <f t="shared" ref="AB29:AB70" si="19">S29</f>
        <v>0</v>
      </c>
      <c r="AC29" s="165"/>
      <c r="AD29" s="165"/>
      <c r="AE29" s="208" t="str">
        <f>U29</f>
        <v>CFF/109.2</v>
      </c>
      <c r="AF29" s="208" t="str">
        <f>V29</f>
        <v>CFG/80</v>
      </c>
    </row>
    <row r="30" spans="1:36" ht="17.25" customHeight="1">
      <c r="A30" s="56">
        <f t="shared" ref="A30:A48" ca="1" si="20">T30</f>
        <v>18.181061474786752</v>
      </c>
      <c r="B30" s="52" t="s">
        <v>161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40"/>
      <c r="P30" s="228"/>
      <c r="Q30" s="228"/>
      <c r="R30" s="237" t="s">
        <v>287</v>
      </c>
      <c r="S30" s="270" t="str">
        <f t="shared" ref="S30:S48" si="21">"Non FF "&amp;B30</f>
        <v>Non FF  7th year of service</v>
      </c>
      <c r="T30" s="266" cm="1">
        <f t="array" aca="1" ref="T30" ca="1">IF($R30="Y",VLOOKUP(S30,INDIRECT($P$2),2,0)*INDIRECT($Q$2),VLOOKUP(S30,INDIRECT($P$2),2,0))</f>
        <v>18.181061474786752</v>
      </c>
      <c r="U30" s="238">
        <f ca="1">T30/109.2</f>
        <v>0.16649323694859663</v>
      </c>
      <c r="V30" s="238">
        <f ca="1">T30/80</f>
        <v>0.22726326843483441</v>
      </c>
      <c r="W30" s="242"/>
      <c r="AB30" s="165" t="str">
        <f t="shared" si="19"/>
        <v>Non FF  7th year of service</v>
      </c>
      <c r="AC30" s="165"/>
      <c r="AD30" s="165"/>
      <c r="AE30" s="206">
        <f t="shared" ref="AE30:AF45" ca="1" si="22">ROUND(U30,3)</f>
        <v>0.16600000000000001</v>
      </c>
      <c r="AF30" s="206">
        <f t="shared" ca="1" si="22"/>
        <v>0.22700000000000001</v>
      </c>
    </row>
    <row r="31" spans="1:36" ht="17.25" customHeight="1">
      <c r="A31" s="56">
        <f t="shared" ca="1" si="20"/>
        <v>25.786211372736695</v>
      </c>
      <c r="B31" s="52" t="s">
        <v>162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40"/>
      <c r="P31" s="228"/>
      <c r="Q31" s="228"/>
      <c r="R31" s="237" t="s">
        <v>287</v>
      </c>
      <c r="S31" s="270" t="str">
        <f t="shared" si="21"/>
        <v>Non FF  8th year of service</v>
      </c>
      <c r="T31" s="266" cm="1">
        <f t="array" aca="1" ref="T31" ca="1">IF($R31="Y",VLOOKUP(S31,INDIRECT($P$2),2,0)*INDIRECT($Q$2),VLOOKUP(S31,INDIRECT($P$2),2,0))</f>
        <v>25.786211372736695</v>
      </c>
      <c r="U31" s="238">
        <f t="shared" ref="U31:U48" ca="1" si="23">T31/109.2</f>
        <v>0.23613746678330305</v>
      </c>
      <c r="V31" s="238">
        <f t="shared" ref="V31:V48" ca="1" si="24">T31/80</f>
        <v>0.32232764215920867</v>
      </c>
      <c r="W31" s="242"/>
      <c r="Y31" s="243"/>
      <c r="AB31" s="165" t="str">
        <f t="shared" si="19"/>
        <v>Non FF  8th year of service</v>
      </c>
      <c r="AC31" s="165"/>
      <c r="AD31" s="165"/>
      <c r="AE31" s="206">
        <f t="shared" ca="1" si="22"/>
        <v>0.23599999999999999</v>
      </c>
      <c r="AF31" s="206">
        <f t="shared" ca="1" si="22"/>
        <v>0.32200000000000001</v>
      </c>
    </row>
    <row r="32" spans="1:36" ht="17.25" customHeight="1">
      <c r="A32" s="56">
        <f t="shared" ca="1" si="20"/>
        <v>33.391361270686744</v>
      </c>
      <c r="B32" s="52" t="s">
        <v>163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40"/>
      <c r="P32" s="228"/>
      <c r="Q32" s="228"/>
      <c r="R32" s="237" t="s">
        <v>287</v>
      </c>
      <c r="S32" s="270" t="str">
        <f t="shared" si="21"/>
        <v>Non FF  9th year of service</v>
      </c>
      <c r="T32" s="266" cm="1">
        <f t="array" aca="1" ref="T32" ca="1">IF($R32="Y",VLOOKUP(S32,INDIRECT($P$2),2,0)*INDIRECT($Q$2),VLOOKUP(S32,INDIRECT($P$2),2,0))</f>
        <v>33.391361270686744</v>
      </c>
      <c r="U32" s="238">
        <f t="shared" ca="1" si="23"/>
        <v>0.30578169661801047</v>
      </c>
      <c r="V32" s="238">
        <f t="shared" ca="1" si="24"/>
        <v>0.41739201588358432</v>
      </c>
      <c r="W32" s="242"/>
      <c r="Y32" s="243"/>
      <c r="AB32" s="165" t="str">
        <f t="shared" si="19"/>
        <v>Non FF  9th year of service</v>
      </c>
      <c r="AC32" s="165"/>
      <c r="AD32" s="165"/>
      <c r="AE32" s="206">
        <f t="shared" ca="1" si="22"/>
        <v>0.30599999999999999</v>
      </c>
      <c r="AF32" s="206">
        <f t="shared" ca="1" si="22"/>
        <v>0.41699999999999998</v>
      </c>
    </row>
    <row r="33" spans="1:32" ht="17.25" customHeight="1">
      <c r="A33" s="56">
        <f t="shared" ca="1" si="20"/>
        <v>40.9965111686368</v>
      </c>
      <c r="B33" s="52" t="s">
        <v>164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40"/>
      <c r="P33" s="228"/>
      <c r="Q33" s="228"/>
      <c r="R33" s="237" t="s">
        <v>287</v>
      </c>
      <c r="S33" s="270" t="str">
        <f t="shared" si="21"/>
        <v>Non FF  10th year of service</v>
      </c>
      <c r="T33" s="266" cm="1">
        <f t="array" aca="1" ref="T33" ca="1">IF($R33="Y",VLOOKUP(S33,INDIRECT($P$2),2,0)*INDIRECT($Q$2),VLOOKUP(S33,INDIRECT($P$2),2,0))</f>
        <v>40.9965111686368</v>
      </c>
      <c r="U33" s="238">
        <f t="shared" ca="1" si="23"/>
        <v>0.37542592645271794</v>
      </c>
      <c r="V33" s="238">
        <f t="shared" ca="1" si="24"/>
        <v>0.51245638960796003</v>
      </c>
      <c r="W33" s="242"/>
      <c r="Y33" s="243"/>
      <c r="AB33" s="165" t="str">
        <f t="shared" si="19"/>
        <v>Non FF  10th year of service</v>
      </c>
      <c r="AC33" s="165"/>
      <c r="AD33" s="165"/>
      <c r="AE33" s="206">
        <f t="shared" ca="1" si="22"/>
        <v>0.375</v>
      </c>
      <c r="AF33" s="206">
        <f t="shared" ca="1" si="22"/>
        <v>0.51200000000000001</v>
      </c>
    </row>
    <row r="34" spans="1:32" ht="17.25" customHeight="1">
      <c r="A34" s="56">
        <f t="shared" ca="1" si="20"/>
        <v>48.601661066586757</v>
      </c>
      <c r="B34" s="52" t="s">
        <v>165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40"/>
      <c r="P34" s="228"/>
      <c r="Q34" s="228"/>
      <c r="R34" s="237" t="s">
        <v>287</v>
      </c>
      <c r="S34" s="270" t="str">
        <f t="shared" si="21"/>
        <v>Non FF  11th year of service</v>
      </c>
      <c r="T34" s="266" cm="1">
        <f t="array" aca="1" ref="T34" ca="1">IF($R34="Y",VLOOKUP(S34,INDIRECT($P$2),2,0)*INDIRECT($Q$2),VLOOKUP(S34,INDIRECT($P$2),2,0))</f>
        <v>48.601661066586757</v>
      </c>
      <c r="U34" s="238">
        <f t="shared" ca="1" si="23"/>
        <v>0.44507015628742452</v>
      </c>
      <c r="V34" s="238">
        <f t="shared" ca="1" si="24"/>
        <v>0.60752076333233451</v>
      </c>
      <c r="W34" s="242"/>
      <c r="Y34" s="243"/>
      <c r="AB34" s="165" t="str">
        <f t="shared" si="19"/>
        <v>Non FF  11th year of service</v>
      </c>
      <c r="AC34" s="165"/>
      <c r="AD34" s="165"/>
      <c r="AE34" s="206">
        <f t="shared" ca="1" si="22"/>
        <v>0.44500000000000001</v>
      </c>
      <c r="AF34" s="206">
        <f t="shared" ca="1" si="22"/>
        <v>0.60799999999999998</v>
      </c>
    </row>
    <row r="35" spans="1:32" ht="17.25" customHeight="1">
      <c r="A35" s="56">
        <f t="shared" ca="1" si="20"/>
        <v>146.8893112125543</v>
      </c>
      <c r="B35" s="52" t="s">
        <v>166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40"/>
      <c r="P35" s="228"/>
      <c r="Q35" s="228"/>
      <c r="R35" s="237" t="s">
        <v>287</v>
      </c>
      <c r="S35" s="270" t="str">
        <f t="shared" si="21"/>
        <v>Non FF  12th year of service</v>
      </c>
      <c r="T35" s="266" cm="1">
        <f t="array" aca="1" ref="T35" ca="1">IF($R35="Y",VLOOKUP(S35,INDIRECT($P$2),2,0)*INDIRECT($Q$2),VLOOKUP(S35,INDIRECT($P$2),2,0))</f>
        <v>146.8893112125543</v>
      </c>
      <c r="U35" s="238">
        <f t="shared" ca="1" si="23"/>
        <v>1.3451402125691785</v>
      </c>
      <c r="V35" s="238">
        <f t="shared" ca="1" si="24"/>
        <v>1.8361163901569288</v>
      </c>
      <c r="W35" s="242"/>
      <c r="Y35" s="243"/>
      <c r="AB35" s="165" t="str">
        <f t="shared" si="19"/>
        <v>Non FF  12th year of service</v>
      </c>
      <c r="AC35" s="165"/>
      <c r="AD35" s="165"/>
      <c r="AE35" s="206">
        <f t="shared" ca="1" si="22"/>
        <v>1.345</v>
      </c>
      <c r="AF35" s="206">
        <f t="shared" ca="1" si="22"/>
        <v>1.8360000000000001</v>
      </c>
    </row>
    <row r="36" spans="1:32" ht="17.25" customHeight="1">
      <c r="A36" s="56">
        <f t="shared" ca="1" si="20"/>
        <v>155.14802867985924</v>
      </c>
      <c r="B36" s="52" t="s">
        <v>167</v>
      </c>
      <c r="P36" s="228"/>
      <c r="Q36" s="228"/>
      <c r="R36" s="237" t="s">
        <v>287</v>
      </c>
      <c r="S36" s="270" t="str">
        <f t="shared" si="21"/>
        <v>Non FF  13th year of service</v>
      </c>
      <c r="T36" s="266" cm="1">
        <f t="array" aca="1" ref="T36" ca="1">IF($R36="Y",VLOOKUP(S36,INDIRECT($P$2),2,0)*INDIRECT($Q$2),VLOOKUP(S36,INDIRECT($P$2),2,0))</f>
        <v>155.14802867985924</v>
      </c>
      <c r="U36" s="238">
        <f t="shared" ca="1" si="23"/>
        <v>1.4207694934053043</v>
      </c>
      <c r="V36" s="238">
        <f t="shared" ca="1" si="24"/>
        <v>1.9393503584982406</v>
      </c>
      <c r="W36" s="242"/>
      <c r="Y36" s="243"/>
      <c r="AB36" s="165" t="str">
        <f t="shared" si="19"/>
        <v>Non FF  13th year of service</v>
      </c>
      <c r="AC36" s="165"/>
      <c r="AD36" s="165"/>
      <c r="AE36" s="206">
        <f t="shared" ca="1" si="22"/>
        <v>1.421</v>
      </c>
      <c r="AF36" s="206">
        <f t="shared" ca="1" si="22"/>
        <v>1.9390000000000001</v>
      </c>
    </row>
    <row r="37" spans="1:32" ht="17.25" customHeight="1">
      <c r="A37" s="56">
        <f t="shared" ca="1" si="20"/>
        <v>163.39189233876954</v>
      </c>
      <c r="B37" s="52" t="s">
        <v>168</v>
      </c>
      <c r="P37" s="228"/>
      <c r="Q37" s="228"/>
      <c r="R37" s="237" t="s">
        <v>287</v>
      </c>
      <c r="S37" s="270" t="str">
        <f t="shared" si="21"/>
        <v>Non FF  14th year of service</v>
      </c>
      <c r="T37" s="266" cm="1">
        <f t="array" aca="1" ref="T37" ca="1">IF($R37="Y",VLOOKUP(S37,INDIRECT($P$2),2,0)*INDIRECT($Q$2),VLOOKUP(S37,INDIRECT($P$2),2,0))</f>
        <v>163.39189233876954</v>
      </c>
      <c r="U37" s="238">
        <f t="shared" ca="1" si="23"/>
        <v>1.4962627503550323</v>
      </c>
      <c r="V37" s="238">
        <f t="shared" ca="1" si="24"/>
        <v>2.0423986542346193</v>
      </c>
      <c r="W37" s="242"/>
      <c r="Y37" s="243"/>
      <c r="AB37" s="165" t="str">
        <f t="shared" si="19"/>
        <v>Non FF  14th year of service</v>
      </c>
      <c r="AC37" s="165"/>
      <c r="AD37" s="165"/>
      <c r="AE37" s="206">
        <f t="shared" ca="1" si="22"/>
        <v>1.496</v>
      </c>
      <c r="AF37" s="206">
        <f t="shared" ca="1" si="22"/>
        <v>2.0419999999999998</v>
      </c>
    </row>
    <row r="38" spans="1:32" ht="17.25" customHeight="1">
      <c r="A38" s="56">
        <f t="shared" ca="1" si="20"/>
        <v>213.71659517911067</v>
      </c>
      <c r="B38" s="52" t="s">
        <v>169</v>
      </c>
      <c r="P38" s="228"/>
      <c r="Q38" s="228"/>
      <c r="R38" s="237" t="s">
        <v>287</v>
      </c>
      <c r="S38" s="270" t="str">
        <f t="shared" si="21"/>
        <v>Non FF  15th year of service</v>
      </c>
      <c r="T38" s="266" cm="1">
        <f t="array" aca="1" ref="T38" ca="1">IF($R38="Y",VLOOKUP(S38,INDIRECT($P$2),2,0)*INDIRECT($Q$2),VLOOKUP(S38,INDIRECT($P$2),2,0))</f>
        <v>213.71659517911067</v>
      </c>
      <c r="U38" s="238">
        <f t="shared" ca="1" si="23"/>
        <v>1.9571116774643833</v>
      </c>
      <c r="V38" s="238">
        <f t="shared" ca="1" si="24"/>
        <v>2.6714574397388833</v>
      </c>
      <c r="W38" s="242"/>
      <c r="Y38" s="243"/>
      <c r="AB38" s="165" t="str">
        <f t="shared" si="19"/>
        <v>Non FF  15th year of service</v>
      </c>
      <c r="AC38" s="165"/>
      <c r="AD38" s="165"/>
      <c r="AE38" s="206">
        <f t="shared" ca="1" si="22"/>
        <v>1.9570000000000001</v>
      </c>
      <c r="AF38" s="206">
        <f t="shared" ca="1" si="22"/>
        <v>2.6709999999999998</v>
      </c>
    </row>
    <row r="39" spans="1:32" ht="17.25" customHeight="1">
      <c r="A39" s="56">
        <f t="shared" ca="1" si="20"/>
        <v>221.960458838021</v>
      </c>
      <c r="B39" s="52" t="s">
        <v>170</v>
      </c>
      <c r="P39" s="228"/>
      <c r="Q39" s="228"/>
      <c r="R39" s="237" t="s">
        <v>287</v>
      </c>
      <c r="S39" s="270" t="str">
        <f t="shared" si="21"/>
        <v>Non FF  16th year of service</v>
      </c>
      <c r="T39" s="266" cm="1">
        <f t="array" aca="1" ref="T39" ca="1">IF($R39="Y",VLOOKUP(S39,INDIRECT($P$2),2,0)*INDIRECT($Q$2),VLOOKUP(S39,INDIRECT($P$2),2,0))</f>
        <v>221.960458838021</v>
      </c>
      <c r="U39" s="238">
        <f t="shared" ca="1" si="23"/>
        <v>2.0326049344141115</v>
      </c>
      <c r="V39" s="238">
        <f t="shared" ca="1" si="24"/>
        <v>2.7745057354752625</v>
      </c>
      <c r="W39" s="242"/>
      <c r="Y39" s="243"/>
      <c r="AB39" s="165" t="str">
        <f t="shared" si="19"/>
        <v>Non FF  16th year of service</v>
      </c>
      <c r="AC39" s="165"/>
      <c r="AD39" s="165"/>
      <c r="AE39" s="206">
        <f t="shared" ca="1" si="22"/>
        <v>2.0329999999999999</v>
      </c>
      <c r="AF39" s="206">
        <f t="shared" ca="1" si="22"/>
        <v>2.7749999999999999</v>
      </c>
    </row>
    <row r="40" spans="1:32" ht="17.25" customHeight="1">
      <c r="A40" s="56">
        <f t="shared" ca="1" si="20"/>
        <v>230.21917630532596</v>
      </c>
      <c r="B40" s="52" t="s">
        <v>171</v>
      </c>
      <c r="P40" s="228"/>
      <c r="Q40" s="228"/>
      <c r="R40" s="237" t="s">
        <v>287</v>
      </c>
      <c r="S40" s="270" t="str">
        <f t="shared" si="21"/>
        <v>Non FF  17th year of service</v>
      </c>
      <c r="T40" s="266" cm="1">
        <f t="array" aca="1" ref="T40" ca="1">IF($R40="Y",VLOOKUP(S40,INDIRECT($P$2),2,0)*INDIRECT($Q$2),VLOOKUP(S40,INDIRECT($P$2),2,0))</f>
        <v>230.21917630532596</v>
      </c>
      <c r="U40" s="238">
        <f t="shared" ca="1" si="23"/>
        <v>2.1082342152502376</v>
      </c>
      <c r="V40" s="238">
        <f t="shared" ca="1" si="24"/>
        <v>2.8777397038165744</v>
      </c>
      <c r="W40" s="242"/>
      <c r="Y40" s="243"/>
      <c r="AB40" s="165" t="str">
        <f t="shared" si="19"/>
        <v>Non FF  17th year of service</v>
      </c>
      <c r="AC40" s="165"/>
      <c r="AD40" s="165"/>
      <c r="AE40" s="206">
        <f t="shared" ca="1" si="22"/>
        <v>2.1080000000000001</v>
      </c>
      <c r="AF40" s="206">
        <f t="shared" ca="1" si="22"/>
        <v>2.8780000000000001</v>
      </c>
    </row>
    <row r="41" spans="1:32" ht="17.25" customHeight="1">
      <c r="A41" s="56">
        <f t="shared" ca="1" si="20"/>
        <v>238.47789377263206</v>
      </c>
      <c r="B41" s="52" t="s">
        <v>172</v>
      </c>
      <c r="P41" s="228"/>
      <c r="Q41" s="228"/>
      <c r="R41" s="237" t="s">
        <v>287</v>
      </c>
      <c r="S41" s="270" t="str">
        <f t="shared" si="21"/>
        <v>Non FF  18th year of service</v>
      </c>
      <c r="T41" s="266" cm="1">
        <f t="array" aca="1" ref="T41" ca="1">IF($R41="Y",VLOOKUP(S41,INDIRECT($P$2),2,0)*INDIRECT($Q$2),VLOOKUP(S41,INDIRECT($P$2),2,0))</f>
        <v>238.47789377263206</v>
      </c>
      <c r="U41" s="238">
        <f t="shared" ca="1" si="23"/>
        <v>2.1838634960863743</v>
      </c>
      <c r="V41" s="238">
        <f t="shared" ca="1" si="24"/>
        <v>2.9809736721579005</v>
      </c>
      <c r="W41" s="242"/>
      <c r="Y41" s="243"/>
      <c r="AB41" s="165" t="str">
        <f t="shared" si="19"/>
        <v>Non FF  18th year of service</v>
      </c>
      <c r="AC41" s="165"/>
      <c r="AD41" s="165"/>
      <c r="AE41" s="206">
        <f t="shared" ca="1" si="22"/>
        <v>2.1840000000000002</v>
      </c>
      <c r="AF41" s="206">
        <f t="shared" ca="1" si="22"/>
        <v>2.9809999999999999</v>
      </c>
    </row>
    <row r="42" spans="1:32" ht="17.25" customHeight="1">
      <c r="A42" s="56">
        <f t="shared" ca="1" si="20"/>
        <v>261.88749580225885</v>
      </c>
      <c r="B42" s="52" t="s">
        <v>173</v>
      </c>
      <c r="P42" s="228"/>
      <c r="Q42" s="228"/>
      <c r="R42" s="237" t="s">
        <v>287</v>
      </c>
      <c r="S42" s="270" t="str">
        <f t="shared" si="21"/>
        <v>Non FF  19th year of service</v>
      </c>
      <c r="T42" s="266" cm="1">
        <f t="array" aca="1" ref="T42" ca="1">IF($R42="Y",VLOOKUP(S42,INDIRECT($P$2),2,0)*INDIRECT($Q$2),VLOOKUP(S42,INDIRECT($P$2),2,0))</f>
        <v>261.88749580225885</v>
      </c>
      <c r="U42" s="238">
        <f t="shared" ca="1" si="23"/>
        <v>2.3982371410463266</v>
      </c>
      <c r="V42" s="238">
        <f t="shared" ca="1" si="24"/>
        <v>3.2735936975282356</v>
      </c>
      <c r="W42" s="242"/>
      <c r="Y42" s="243"/>
      <c r="AB42" s="165" t="str">
        <f t="shared" si="19"/>
        <v>Non FF  19th year of service</v>
      </c>
      <c r="AC42" s="165"/>
      <c r="AD42" s="165"/>
      <c r="AE42" s="206">
        <f t="shared" ca="1" si="22"/>
        <v>2.3980000000000001</v>
      </c>
      <c r="AF42" s="206">
        <f t="shared" ca="1" si="22"/>
        <v>3.274</v>
      </c>
    </row>
    <row r="43" spans="1:32" ht="17.25" customHeight="1">
      <c r="A43" s="56">
        <f t="shared" ca="1" si="20"/>
        <v>329.02670974509857</v>
      </c>
      <c r="B43" s="52" t="s">
        <v>174</v>
      </c>
      <c r="P43" s="228"/>
      <c r="Q43" s="228"/>
      <c r="R43" s="237" t="s">
        <v>287</v>
      </c>
      <c r="S43" s="270" t="str">
        <f t="shared" si="21"/>
        <v>Non FF  20th year of service</v>
      </c>
      <c r="T43" s="266" cm="1">
        <f t="array" aca="1" ref="T43" ca="1">IF($R43="Y",VLOOKUP(S43,INDIRECT($P$2),2,0)*INDIRECT($Q$2),VLOOKUP(S43,INDIRECT($P$2),2,0))</f>
        <v>329.02670974509857</v>
      </c>
      <c r="U43" s="238">
        <f t="shared" ca="1" si="23"/>
        <v>3.0130651075558474</v>
      </c>
      <c r="V43" s="238">
        <f t="shared" ca="1" si="24"/>
        <v>4.1128338718137325</v>
      </c>
      <c r="W43" s="242"/>
      <c r="Y43" s="243"/>
      <c r="AB43" s="165" t="str">
        <f t="shared" si="19"/>
        <v>Non FF  20th year of service</v>
      </c>
      <c r="AC43" s="165"/>
      <c r="AD43" s="165"/>
      <c r="AE43" s="206">
        <f t="shared" ca="1" si="22"/>
        <v>3.0129999999999999</v>
      </c>
      <c r="AF43" s="206">
        <f t="shared" ca="1" si="22"/>
        <v>4.1130000000000004</v>
      </c>
    </row>
    <row r="44" spans="1:32" ht="17.25" customHeight="1">
      <c r="A44" s="56">
        <f t="shared" ca="1" si="20"/>
        <v>337.28542721240353</v>
      </c>
      <c r="B44" s="52" t="s">
        <v>175</v>
      </c>
      <c r="P44" s="228"/>
      <c r="Q44" s="228"/>
      <c r="R44" s="237" t="s">
        <v>287</v>
      </c>
      <c r="S44" s="270" t="str">
        <f t="shared" si="21"/>
        <v>Non FF  21st year of service</v>
      </c>
      <c r="T44" s="266" cm="1">
        <f t="array" aca="1" ref="T44" ca="1">IF($R44="Y",VLOOKUP(S44,INDIRECT($P$2),2,0)*INDIRECT($Q$2),VLOOKUP(S44,INDIRECT($P$2),2,0))</f>
        <v>337.28542721240353</v>
      </c>
      <c r="U44" s="238">
        <f t="shared" ca="1" si="23"/>
        <v>3.0886943883919735</v>
      </c>
      <c r="V44" s="238">
        <f t="shared" ca="1" si="24"/>
        <v>4.216067840155044</v>
      </c>
      <c r="W44" s="242"/>
      <c r="Y44" s="243"/>
      <c r="AB44" s="165" t="str">
        <f t="shared" si="19"/>
        <v>Non FF  21st year of service</v>
      </c>
      <c r="AC44" s="165"/>
      <c r="AD44" s="165"/>
      <c r="AE44" s="206">
        <f t="shared" ca="1" si="22"/>
        <v>3.089</v>
      </c>
      <c r="AF44" s="206">
        <f t="shared" ca="1" si="22"/>
        <v>4.2160000000000002</v>
      </c>
    </row>
    <row r="45" spans="1:32" ht="17.25" customHeight="1">
      <c r="A45" s="56">
        <f t="shared" ca="1" si="20"/>
        <v>345.5441446797085</v>
      </c>
      <c r="B45" s="52" t="s">
        <v>176</v>
      </c>
      <c r="P45" s="228"/>
      <c r="Q45" s="228"/>
      <c r="R45" s="237" t="s">
        <v>287</v>
      </c>
      <c r="S45" s="270" t="str">
        <f t="shared" si="21"/>
        <v>Non FF  22nd year of service</v>
      </c>
      <c r="T45" s="266" cm="1">
        <f t="array" aca="1" ref="T45" ca="1">IF($R45="Y",VLOOKUP(S45,INDIRECT($P$2),2,0)*INDIRECT($Q$2),VLOOKUP(S45,INDIRECT($P$2),2,0))</f>
        <v>345.5441446797085</v>
      </c>
      <c r="U45" s="238">
        <f t="shared" ca="1" si="23"/>
        <v>3.1643236692280996</v>
      </c>
      <c r="V45" s="238">
        <f t="shared" ca="1" si="24"/>
        <v>4.3193018084963564</v>
      </c>
      <c r="W45" s="242"/>
      <c r="Y45" s="243"/>
      <c r="AB45" s="165" t="str">
        <f t="shared" si="19"/>
        <v>Non FF  22nd year of service</v>
      </c>
      <c r="AC45" s="165"/>
      <c r="AD45" s="165"/>
      <c r="AE45" s="206">
        <f t="shared" ca="1" si="22"/>
        <v>3.1640000000000001</v>
      </c>
      <c r="AF45" s="206">
        <f t="shared" ca="1" si="22"/>
        <v>4.319</v>
      </c>
    </row>
    <row r="46" spans="1:32" ht="17.25" customHeight="1">
      <c r="A46" s="56">
        <f t="shared" ca="1" si="20"/>
        <v>353.80286214701454</v>
      </c>
      <c r="B46" s="52" t="s">
        <v>177</v>
      </c>
      <c r="P46" s="228"/>
      <c r="Q46" s="228"/>
      <c r="R46" s="237" t="s">
        <v>287</v>
      </c>
      <c r="S46" s="270" t="str">
        <f t="shared" si="21"/>
        <v>Non FF  23rd year of service</v>
      </c>
      <c r="T46" s="266" cm="1">
        <f t="array" aca="1" ref="T46" ca="1">IF($R46="Y",VLOOKUP(S46,INDIRECT($P$2),2,0)*INDIRECT($Q$2),VLOOKUP(S46,INDIRECT($P$2),2,0))</f>
        <v>353.80286214701454</v>
      </c>
      <c r="U46" s="238">
        <f t="shared" ca="1" si="23"/>
        <v>3.2399529500642354</v>
      </c>
      <c r="V46" s="238">
        <f t="shared" ca="1" si="24"/>
        <v>4.4225357768376821</v>
      </c>
      <c r="W46" s="242"/>
      <c r="Y46" s="243"/>
      <c r="AB46" s="165" t="str">
        <f t="shared" si="19"/>
        <v>Non FF  23rd year of service</v>
      </c>
      <c r="AC46" s="165"/>
      <c r="AD46" s="165"/>
      <c r="AE46" s="206">
        <f t="shared" ref="AE46:AF70" ca="1" si="25">ROUND(U46,3)</f>
        <v>3.24</v>
      </c>
      <c r="AF46" s="206">
        <f t="shared" ca="1" si="25"/>
        <v>4.423</v>
      </c>
    </row>
    <row r="47" spans="1:32" ht="17.25" customHeight="1">
      <c r="A47" s="56">
        <f t="shared" ca="1" si="20"/>
        <v>362.06157961431944</v>
      </c>
      <c r="B47" s="52" t="s">
        <v>178</v>
      </c>
      <c r="P47" s="228"/>
      <c r="Q47" s="228"/>
      <c r="R47" s="237" t="s">
        <v>287</v>
      </c>
      <c r="S47" s="270" t="str">
        <f t="shared" si="21"/>
        <v>Non FF  24th year of service</v>
      </c>
      <c r="T47" s="266" cm="1">
        <f t="array" aca="1" ref="T47" ca="1">IF($R47="Y",VLOOKUP(S47,INDIRECT($P$2),2,0)*INDIRECT($Q$2),VLOOKUP(S47,INDIRECT($P$2),2,0))</f>
        <v>362.06157961431944</v>
      </c>
      <c r="U47" s="238">
        <f t="shared" ca="1" si="23"/>
        <v>3.3155822309003611</v>
      </c>
      <c r="V47" s="238">
        <f t="shared" ca="1" si="24"/>
        <v>4.5257697451789927</v>
      </c>
      <c r="W47" s="242"/>
      <c r="Y47" s="243"/>
      <c r="AB47" s="165" t="str">
        <f t="shared" si="19"/>
        <v>Non FF  24th year of service</v>
      </c>
      <c r="AC47" s="165"/>
      <c r="AD47" s="165"/>
      <c r="AE47" s="206">
        <f t="shared" ca="1" si="25"/>
        <v>3.3159999999999998</v>
      </c>
      <c r="AF47" s="206">
        <f t="shared" ca="1" si="25"/>
        <v>4.5259999999999998</v>
      </c>
    </row>
    <row r="48" spans="1:32" ht="17.25" customHeight="1">
      <c r="A48" s="56">
        <f t="shared" ca="1" si="20"/>
        <v>395.54206373537284</v>
      </c>
      <c r="B48" s="52" t="s">
        <v>179</v>
      </c>
      <c r="P48" s="228"/>
      <c r="Q48" s="228"/>
      <c r="R48" s="237" t="s">
        <v>287</v>
      </c>
      <c r="S48" s="270" t="str">
        <f t="shared" si="21"/>
        <v>Non FF  25th year of service</v>
      </c>
      <c r="T48" s="266" cm="1">
        <f t="array" aca="1" ref="T48" ca="1">IF($R48="Y",VLOOKUP(S48,INDIRECT($P$2),2,0)*INDIRECT($Q$2),VLOOKUP(S48,INDIRECT($P$2),2,0))</f>
        <v>395.54206373537284</v>
      </c>
      <c r="U48" s="238">
        <f t="shared" ca="1" si="23"/>
        <v>3.6221800708367473</v>
      </c>
      <c r="V48" s="238">
        <f t="shared" ca="1" si="24"/>
        <v>4.9442757966921604</v>
      </c>
      <c r="W48" s="242"/>
      <c r="Y48" s="243"/>
      <c r="AB48" s="165" t="str">
        <f t="shared" si="19"/>
        <v>Non FF  25th year of service</v>
      </c>
      <c r="AC48" s="165"/>
      <c r="AD48" s="165"/>
      <c r="AE48" s="206">
        <f t="shared" ca="1" si="25"/>
        <v>3.6219999999999999</v>
      </c>
      <c r="AF48" s="206">
        <f t="shared" ca="1" si="25"/>
        <v>4.944</v>
      </c>
    </row>
    <row r="49" spans="1:32">
      <c r="A49" s="261"/>
      <c r="B49" s="52"/>
      <c r="P49" s="228"/>
      <c r="Q49" s="228"/>
      <c r="R49" s="241"/>
      <c r="U49" s="241"/>
      <c r="V49" s="228"/>
      <c r="W49" s="228"/>
      <c r="AE49" s="209"/>
      <c r="AF49" s="209"/>
    </row>
    <row r="50" spans="1:32" ht="27.75" customHeight="1">
      <c r="A50" s="262" t="s">
        <v>136</v>
      </c>
      <c r="B50" s="42" t="s">
        <v>181</v>
      </c>
      <c r="P50" s="228"/>
      <c r="Q50" s="228"/>
      <c r="R50" s="241"/>
      <c r="U50" s="234" t="s">
        <v>232</v>
      </c>
      <c r="V50" s="234" t="s">
        <v>233</v>
      </c>
      <c r="W50" s="228"/>
      <c r="AB50" s="207" t="s">
        <v>297</v>
      </c>
      <c r="AC50" s="165"/>
      <c r="AD50" s="207"/>
      <c r="AE50" s="208" t="str">
        <f>U50</f>
        <v>CFH/109.2</v>
      </c>
      <c r="AF50" s="208" t="str">
        <f>V50</f>
        <v>CFI/80</v>
      </c>
    </row>
    <row r="51" spans="1:32" ht="17.25" customHeight="1">
      <c r="A51" s="56">
        <f ca="1">T51</f>
        <v>18.181061474786752</v>
      </c>
      <c r="B51" s="52" t="s">
        <v>161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40"/>
      <c r="P51" s="228"/>
      <c r="Q51" s="228"/>
      <c r="R51" s="237" t="s">
        <v>287</v>
      </c>
      <c r="S51" s="270" t="str">
        <f t="shared" ref="S51:S70" si="26">"FF "&amp;B51</f>
        <v>FF  7th year of service</v>
      </c>
      <c r="T51" s="266" cm="1">
        <f t="array" aca="1" ref="T51" ca="1">IF($R51="Y",VLOOKUP(S51,INDIRECT($P$2),2,0)*INDIRECT($Q$2),VLOOKUP(S51,INDIRECT($P$2),2,0))</f>
        <v>18.181061474786752</v>
      </c>
      <c r="U51" s="238">
        <f t="shared" ref="U51:U70" ca="1" si="27">T51/109.2</f>
        <v>0.16649323694859663</v>
      </c>
      <c r="V51" s="238">
        <f t="shared" ref="V51" ca="1" si="28">T51/80</f>
        <v>0.22726326843483441</v>
      </c>
      <c r="W51" s="242"/>
      <c r="AB51" s="165" t="str">
        <f t="shared" si="19"/>
        <v>FF  7th year of service</v>
      </c>
      <c r="AC51" s="165"/>
      <c r="AD51" s="165"/>
      <c r="AE51" s="206">
        <f t="shared" ca="1" si="25"/>
        <v>0.16600000000000001</v>
      </c>
      <c r="AF51" s="206">
        <f t="shared" ca="1" si="25"/>
        <v>0.22700000000000001</v>
      </c>
    </row>
    <row r="52" spans="1:32" ht="17.25" customHeight="1">
      <c r="A52" s="56">
        <f t="shared" ref="A52:A70" ca="1" si="29">T52</f>
        <v>25.786211372736695</v>
      </c>
      <c r="B52" s="52" t="s">
        <v>162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40"/>
      <c r="P52" s="228"/>
      <c r="Q52" s="228"/>
      <c r="R52" s="237" t="s">
        <v>287</v>
      </c>
      <c r="S52" s="270" t="str">
        <f t="shared" si="26"/>
        <v>FF  8th year of service</v>
      </c>
      <c r="T52" s="266" cm="1">
        <f t="array" aca="1" ref="T52" ca="1">IF($R52="Y",VLOOKUP(S52,INDIRECT($P$2),2,0)*INDIRECT($Q$2),VLOOKUP(S52,INDIRECT($P$2),2,0))</f>
        <v>25.786211372736695</v>
      </c>
      <c r="U52" s="238">
        <f t="shared" ca="1" si="27"/>
        <v>0.23613746678330305</v>
      </c>
      <c r="V52" s="238">
        <f t="shared" ref="V52:V70" ca="1" si="30">T52/80</f>
        <v>0.32232764215920867</v>
      </c>
      <c r="W52" s="242"/>
      <c r="Y52" s="243"/>
      <c r="AB52" s="165" t="str">
        <f t="shared" si="19"/>
        <v>FF  8th year of service</v>
      </c>
      <c r="AC52" s="165"/>
      <c r="AD52" s="165"/>
      <c r="AE52" s="206">
        <f t="shared" ca="1" si="25"/>
        <v>0.23599999999999999</v>
      </c>
      <c r="AF52" s="206">
        <f t="shared" ca="1" si="25"/>
        <v>0.32200000000000001</v>
      </c>
    </row>
    <row r="53" spans="1:32" ht="17.25" customHeight="1">
      <c r="A53" s="56">
        <f t="shared" ca="1" si="29"/>
        <v>33.391361270686744</v>
      </c>
      <c r="B53" s="52" t="s">
        <v>163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40"/>
      <c r="P53" s="228"/>
      <c r="Q53" s="228"/>
      <c r="R53" s="237" t="s">
        <v>287</v>
      </c>
      <c r="S53" s="270" t="str">
        <f t="shared" si="26"/>
        <v>FF  9th year of service</v>
      </c>
      <c r="T53" s="266" cm="1">
        <f t="array" aca="1" ref="T53" ca="1">IF($R53="Y",VLOOKUP(S53,INDIRECT($P$2),2,0)*INDIRECT($Q$2),VLOOKUP(S53,INDIRECT($P$2),2,0))</f>
        <v>33.391361270686744</v>
      </c>
      <c r="U53" s="238">
        <f t="shared" ca="1" si="27"/>
        <v>0.30578169661801047</v>
      </c>
      <c r="V53" s="238">
        <f t="shared" ca="1" si="30"/>
        <v>0.41739201588358432</v>
      </c>
      <c r="W53" s="242"/>
      <c r="Y53" s="243"/>
      <c r="AB53" s="165" t="str">
        <f t="shared" si="19"/>
        <v>FF  9th year of service</v>
      </c>
      <c r="AC53" s="165"/>
      <c r="AD53" s="165"/>
      <c r="AE53" s="206">
        <f t="shared" ca="1" si="25"/>
        <v>0.30599999999999999</v>
      </c>
      <c r="AF53" s="206">
        <f t="shared" ca="1" si="25"/>
        <v>0.41699999999999998</v>
      </c>
    </row>
    <row r="54" spans="1:32" ht="17.25" customHeight="1">
      <c r="A54" s="56">
        <f t="shared" ca="1" si="29"/>
        <v>40.9965111686368</v>
      </c>
      <c r="B54" s="52" t="s">
        <v>164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40"/>
      <c r="P54" s="228"/>
      <c r="Q54" s="228"/>
      <c r="R54" s="237" t="s">
        <v>287</v>
      </c>
      <c r="S54" s="270" t="str">
        <f t="shared" si="26"/>
        <v>FF  10th year of service</v>
      </c>
      <c r="T54" s="266" cm="1">
        <f t="array" aca="1" ref="T54" ca="1">IF($R54="Y",VLOOKUP(S54,INDIRECT($P$2),2,0)*INDIRECT($Q$2),VLOOKUP(S54,INDIRECT($P$2),2,0))</f>
        <v>40.9965111686368</v>
      </c>
      <c r="U54" s="238">
        <f t="shared" ca="1" si="27"/>
        <v>0.37542592645271794</v>
      </c>
      <c r="V54" s="238">
        <f t="shared" ca="1" si="30"/>
        <v>0.51245638960796003</v>
      </c>
      <c r="W54" s="242"/>
      <c r="Y54" s="243"/>
      <c r="AB54" s="165" t="str">
        <f t="shared" si="19"/>
        <v>FF  10th year of service</v>
      </c>
      <c r="AC54" s="165"/>
      <c r="AD54" s="165"/>
      <c r="AE54" s="206">
        <f t="shared" ca="1" si="25"/>
        <v>0.375</v>
      </c>
      <c r="AF54" s="206">
        <f t="shared" ca="1" si="25"/>
        <v>0.51200000000000001</v>
      </c>
    </row>
    <row r="55" spans="1:32" ht="17.25" customHeight="1">
      <c r="A55" s="56">
        <f t="shared" ca="1" si="29"/>
        <v>48.601661066586757</v>
      </c>
      <c r="B55" s="52" t="s">
        <v>165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40"/>
      <c r="P55" s="228"/>
      <c r="Q55" s="228"/>
      <c r="R55" s="237" t="s">
        <v>287</v>
      </c>
      <c r="S55" s="270" t="str">
        <f t="shared" si="26"/>
        <v>FF  11th year of service</v>
      </c>
      <c r="T55" s="266" cm="1">
        <f t="array" aca="1" ref="T55" ca="1">IF($R55="Y",VLOOKUP(S55,INDIRECT($P$2),2,0)*INDIRECT($Q$2),VLOOKUP(S55,INDIRECT($P$2),2,0))</f>
        <v>48.601661066586757</v>
      </c>
      <c r="U55" s="238">
        <f t="shared" ca="1" si="27"/>
        <v>0.44507015628742452</v>
      </c>
      <c r="V55" s="238">
        <f t="shared" ca="1" si="30"/>
        <v>0.60752076333233451</v>
      </c>
      <c r="W55" s="242"/>
      <c r="Y55" s="243"/>
      <c r="AB55" s="165" t="str">
        <f t="shared" si="19"/>
        <v>FF  11th year of service</v>
      </c>
      <c r="AC55" s="165"/>
      <c r="AD55" s="165"/>
      <c r="AE55" s="206">
        <f t="shared" ca="1" si="25"/>
        <v>0.44500000000000001</v>
      </c>
      <c r="AF55" s="206">
        <f t="shared" ca="1" si="25"/>
        <v>0.60799999999999998</v>
      </c>
    </row>
    <row r="56" spans="1:32" ht="17.25" customHeight="1">
      <c r="A56" s="56">
        <f t="shared" ca="1" si="29"/>
        <v>146.8893112125543</v>
      </c>
      <c r="B56" s="52" t="s">
        <v>166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40"/>
      <c r="P56" s="228"/>
      <c r="Q56" s="228"/>
      <c r="R56" s="237" t="s">
        <v>287</v>
      </c>
      <c r="S56" s="270" t="str">
        <f t="shared" si="26"/>
        <v>FF  12th year of service</v>
      </c>
      <c r="T56" s="266" cm="1">
        <f t="array" aca="1" ref="T56" ca="1">IF($R56="Y",VLOOKUP(S56,INDIRECT($P$2),2,0)*INDIRECT($Q$2),VLOOKUP(S56,INDIRECT($P$2),2,0))</f>
        <v>146.8893112125543</v>
      </c>
      <c r="U56" s="238">
        <f t="shared" ca="1" si="27"/>
        <v>1.3451402125691785</v>
      </c>
      <c r="V56" s="238">
        <f t="shared" ca="1" si="30"/>
        <v>1.8361163901569288</v>
      </c>
      <c r="W56" s="242"/>
      <c r="Y56" s="243"/>
      <c r="AB56" s="165" t="str">
        <f t="shared" si="19"/>
        <v>FF  12th year of service</v>
      </c>
      <c r="AC56" s="165"/>
      <c r="AD56" s="165"/>
      <c r="AE56" s="206">
        <f t="shared" ca="1" si="25"/>
        <v>1.345</v>
      </c>
      <c r="AF56" s="206">
        <f t="shared" ca="1" si="25"/>
        <v>1.8360000000000001</v>
      </c>
    </row>
    <row r="57" spans="1:32" ht="17.25" customHeight="1">
      <c r="A57" s="56">
        <f t="shared" ca="1" si="29"/>
        <v>155.14802867985924</v>
      </c>
      <c r="B57" s="52" t="s">
        <v>167</v>
      </c>
      <c r="P57" s="228"/>
      <c r="Q57" s="228"/>
      <c r="R57" s="237" t="s">
        <v>287</v>
      </c>
      <c r="S57" s="270" t="str">
        <f t="shared" si="26"/>
        <v>FF  13th year of service</v>
      </c>
      <c r="T57" s="266" cm="1">
        <f t="array" aca="1" ref="T57" ca="1">IF($R57="Y",VLOOKUP(S57,INDIRECT($P$2),2,0)*INDIRECT($Q$2),VLOOKUP(S57,INDIRECT($P$2),2,0))</f>
        <v>155.14802867985924</v>
      </c>
      <c r="U57" s="238">
        <f t="shared" ca="1" si="27"/>
        <v>1.4207694934053043</v>
      </c>
      <c r="V57" s="238">
        <f t="shared" ca="1" si="30"/>
        <v>1.9393503584982406</v>
      </c>
      <c r="W57" s="242"/>
      <c r="Y57" s="243"/>
      <c r="AB57" s="165" t="str">
        <f t="shared" si="19"/>
        <v>FF  13th year of service</v>
      </c>
      <c r="AC57" s="165"/>
      <c r="AD57" s="165"/>
      <c r="AE57" s="206">
        <f t="shared" ca="1" si="25"/>
        <v>1.421</v>
      </c>
      <c r="AF57" s="206">
        <f t="shared" ca="1" si="25"/>
        <v>1.9390000000000001</v>
      </c>
    </row>
    <row r="58" spans="1:32" ht="17.25" customHeight="1">
      <c r="A58" s="56">
        <f t="shared" ca="1" si="29"/>
        <v>163.39189233876954</v>
      </c>
      <c r="B58" s="52" t="s">
        <v>168</v>
      </c>
      <c r="P58" s="228"/>
      <c r="Q58" s="228"/>
      <c r="R58" s="237" t="s">
        <v>287</v>
      </c>
      <c r="S58" s="270" t="str">
        <f t="shared" si="26"/>
        <v>FF  14th year of service</v>
      </c>
      <c r="T58" s="266" cm="1">
        <f t="array" aca="1" ref="T58" ca="1">IF($R58="Y",VLOOKUP(S58,INDIRECT($P$2),2,0)*INDIRECT($Q$2),VLOOKUP(S58,INDIRECT($P$2),2,0))</f>
        <v>163.39189233876954</v>
      </c>
      <c r="U58" s="238">
        <f t="shared" ca="1" si="27"/>
        <v>1.4962627503550323</v>
      </c>
      <c r="V58" s="238">
        <f t="shared" ca="1" si="30"/>
        <v>2.0423986542346193</v>
      </c>
      <c r="W58" s="242"/>
      <c r="Y58" s="243"/>
      <c r="AB58" s="165" t="str">
        <f t="shared" si="19"/>
        <v>FF  14th year of service</v>
      </c>
      <c r="AC58" s="165"/>
      <c r="AD58" s="165"/>
      <c r="AE58" s="206">
        <f t="shared" ca="1" si="25"/>
        <v>1.496</v>
      </c>
      <c r="AF58" s="206">
        <f t="shared" ca="1" si="25"/>
        <v>2.0419999999999998</v>
      </c>
    </row>
    <row r="59" spans="1:32" ht="17.25" customHeight="1">
      <c r="A59" s="56">
        <f t="shared" ca="1" si="29"/>
        <v>213.71659517911067</v>
      </c>
      <c r="B59" s="52" t="s">
        <v>169</v>
      </c>
      <c r="P59" s="228"/>
      <c r="Q59" s="228"/>
      <c r="R59" s="237" t="s">
        <v>287</v>
      </c>
      <c r="S59" s="270" t="str">
        <f t="shared" si="26"/>
        <v>FF  15th year of service</v>
      </c>
      <c r="T59" s="266" cm="1">
        <f t="array" aca="1" ref="T59" ca="1">IF($R59="Y",VLOOKUP(S59,INDIRECT($P$2),2,0)*INDIRECT($Q$2),VLOOKUP(S59,INDIRECT($P$2),2,0))</f>
        <v>213.71659517911067</v>
      </c>
      <c r="U59" s="238">
        <f t="shared" ca="1" si="27"/>
        <v>1.9571116774643833</v>
      </c>
      <c r="V59" s="238">
        <f t="shared" ca="1" si="30"/>
        <v>2.6714574397388833</v>
      </c>
      <c r="W59" s="242"/>
      <c r="Y59" s="243"/>
      <c r="AB59" s="165" t="str">
        <f t="shared" si="19"/>
        <v>FF  15th year of service</v>
      </c>
      <c r="AC59" s="165"/>
      <c r="AD59" s="165"/>
      <c r="AE59" s="206">
        <f t="shared" ca="1" si="25"/>
        <v>1.9570000000000001</v>
      </c>
      <c r="AF59" s="206">
        <f t="shared" ca="1" si="25"/>
        <v>2.6709999999999998</v>
      </c>
    </row>
    <row r="60" spans="1:32" ht="17.25" customHeight="1">
      <c r="A60" s="56">
        <f t="shared" ca="1" si="29"/>
        <v>221.960458838021</v>
      </c>
      <c r="B60" s="52" t="s">
        <v>170</v>
      </c>
      <c r="P60" s="228"/>
      <c r="Q60" s="228"/>
      <c r="R60" s="237" t="s">
        <v>287</v>
      </c>
      <c r="S60" s="270" t="str">
        <f t="shared" si="26"/>
        <v>FF  16th year of service</v>
      </c>
      <c r="T60" s="266" cm="1">
        <f t="array" aca="1" ref="T60" ca="1">IF($R60="Y",VLOOKUP(S60,INDIRECT($P$2),2,0)*INDIRECT($Q$2),VLOOKUP(S60,INDIRECT($P$2),2,0))</f>
        <v>221.960458838021</v>
      </c>
      <c r="U60" s="238">
        <f t="shared" ca="1" si="27"/>
        <v>2.0326049344141115</v>
      </c>
      <c r="V60" s="238">
        <f t="shared" ca="1" si="30"/>
        <v>2.7745057354752625</v>
      </c>
      <c r="W60" s="242"/>
      <c r="Y60" s="243"/>
      <c r="AB60" s="165" t="str">
        <f t="shared" si="19"/>
        <v>FF  16th year of service</v>
      </c>
      <c r="AC60" s="165"/>
      <c r="AD60" s="165"/>
      <c r="AE60" s="206">
        <f t="shared" ca="1" si="25"/>
        <v>2.0329999999999999</v>
      </c>
      <c r="AF60" s="206">
        <f t="shared" ca="1" si="25"/>
        <v>2.7749999999999999</v>
      </c>
    </row>
    <row r="61" spans="1:32" ht="17.25" customHeight="1">
      <c r="A61" s="56">
        <f t="shared" ca="1" si="29"/>
        <v>230.21917630532596</v>
      </c>
      <c r="B61" s="52" t="s">
        <v>171</v>
      </c>
      <c r="P61" s="228"/>
      <c r="Q61" s="228"/>
      <c r="R61" s="237" t="s">
        <v>287</v>
      </c>
      <c r="S61" s="270" t="str">
        <f t="shared" si="26"/>
        <v>FF  17th year of service</v>
      </c>
      <c r="T61" s="266" cm="1">
        <f t="array" aca="1" ref="T61" ca="1">IF($R61="Y",VLOOKUP(S61,INDIRECT($P$2),2,0)*INDIRECT($Q$2),VLOOKUP(S61,INDIRECT($P$2),2,0))</f>
        <v>230.21917630532596</v>
      </c>
      <c r="U61" s="238">
        <f t="shared" ca="1" si="27"/>
        <v>2.1082342152502376</v>
      </c>
      <c r="V61" s="238">
        <f t="shared" ca="1" si="30"/>
        <v>2.8777397038165744</v>
      </c>
      <c r="W61" s="242"/>
      <c r="Y61" s="243"/>
      <c r="AB61" s="165" t="str">
        <f t="shared" si="19"/>
        <v>FF  17th year of service</v>
      </c>
      <c r="AC61" s="165"/>
      <c r="AD61" s="165"/>
      <c r="AE61" s="206">
        <f t="shared" ca="1" si="25"/>
        <v>2.1080000000000001</v>
      </c>
      <c r="AF61" s="206">
        <f t="shared" ca="1" si="25"/>
        <v>2.8780000000000001</v>
      </c>
    </row>
    <row r="62" spans="1:32" ht="17.25" customHeight="1">
      <c r="A62" s="56">
        <f t="shared" ca="1" si="29"/>
        <v>238.47789377263206</v>
      </c>
      <c r="B62" s="52" t="s">
        <v>172</v>
      </c>
      <c r="P62" s="228"/>
      <c r="Q62" s="228"/>
      <c r="R62" s="237" t="s">
        <v>287</v>
      </c>
      <c r="S62" s="270" t="str">
        <f t="shared" si="26"/>
        <v>FF  18th year of service</v>
      </c>
      <c r="T62" s="266" cm="1">
        <f t="array" aca="1" ref="T62" ca="1">IF($R62="Y",VLOOKUP(S62,INDIRECT($P$2),2,0)*INDIRECT($Q$2),VLOOKUP(S62,INDIRECT($P$2),2,0))</f>
        <v>238.47789377263206</v>
      </c>
      <c r="U62" s="238">
        <f t="shared" ca="1" si="27"/>
        <v>2.1838634960863743</v>
      </c>
      <c r="V62" s="238">
        <f t="shared" ca="1" si="30"/>
        <v>2.9809736721579005</v>
      </c>
      <c r="W62" s="242"/>
      <c r="Y62" s="243"/>
      <c r="AB62" s="165" t="str">
        <f t="shared" si="19"/>
        <v>FF  18th year of service</v>
      </c>
      <c r="AC62" s="165"/>
      <c r="AD62" s="165"/>
      <c r="AE62" s="206">
        <f t="shared" ca="1" si="25"/>
        <v>2.1840000000000002</v>
      </c>
      <c r="AF62" s="206">
        <f t="shared" ca="1" si="25"/>
        <v>2.9809999999999999</v>
      </c>
    </row>
    <row r="63" spans="1:32" ht="17.25" customHeight="1">
      <c r="A63" s="56">
        <f t="shared" ca="1" si="29"/>
        <v>261.88749580225885</v>
      </c>
      <c r="B63" s="52" t="s">
        <v>173</v>
      </c>
      <c r="P63" s="228"/>
      <c r="Q63" s="228"/>
      <c r="R63" s="237" t="s">
        <v>287</v>
      </c>
      <c r="S63" s="270" t="str">
        <f t="shared" si="26"/>
        <v>FF  19th year of service</v>
      </c>
      <c r="T63" s="266" cm="1">
        <f t="array" aca="1" ref="T63" ca="1">IF($R63="Y",VLOOKUP(S63,INDIRECT($P$2),2,0)*INDIRECT($Q$2),VLOOKUP(S63,INDIRECT($P$2),2,0))</f>
        <v>261.88749580225885</v>
      </c>
      <c r="U63" s="238">
        <f t="shared" ca="1" si="27"/>
        <v>2.3982371410463266</v>
      </c>
      <c r="V63" s="238">
        <f t="shared" ca="1" si="30"/>
        <v>3.2735936975282356</v>
      </c>
      <c r="W63" s="242"/>
      <c r="Y63" s="243"/>
      <c r="AB63" s="165" t="str">
        <f t="shared" si="19"/>
        <v>FF  19th year of service</v>
      </c>
      <c r="AC63" s="165"/>
      <c r="AD63" s="165"/>
      <c r="AE63" s="206">
        <f t="shared" ca="1" si="25"/>
        <v>2.3980000000000001</v>
      </c>
      <c r="AF63" s="206">
        <f t="shared" ca="1" si="25"/>
        <v>3.274</v>
      </c>
    </row>
    <row r="64" spans="1:32" ht="17.25" customHeight="1">
      <c r="A64" s="56">
        <f t="shared" ca="1" si="29"/>
        <v>329.02670974509857</v>
      </c>
      <c r="B64" s="52" t="s">
        <v>174</v>
      </c>
      <c r="P64" s="228"/>
      <c r="Q64" s="228"/>
      <c r="R64" s="237" t="s">
        <v>287</v>
      </c>
      <c r="S64" s="270" t="str">
        <f t="shared" si="26"/>
        <v>FF  20th year of service</v>
      </c>
      <c r="T64" s="266" cm="1">
        <f t="array" aca="1" ref="T64" ca="1">IF($R64="Y",VLOOKUP(S64,INDIRECT($P$2),2,0)*INDIRECT($Q$2),VLOOKUP(S64,INDIRECT($P$2),2,0))</f>
        <v>329.02670974509857</v>
      </c>
      <c r="U64" s="238">
        <f t="shared" ca="1" si="27"/>
        <v>3.0130651075558474</v>
      </c>
      <c r="V64" s="238">
        <f t="shared" ca="1" si="30"/>
        <v>4.1128338718137325</v>
      </c>
      <c r="W64" s="242"/>
      <c r="Y64" s="243"/>
      <c r="AB64" s="165" t="str">
        <f t="shared" si="19"/>
        <v>FF  20th year of service</v>
      </c>
      <c r="AC64" s="165"/>
      <c r="AD64" s="165"/>
      <c r="AE64" s="206">
        <f t="shared" ca="1" si="25"/>
        <v>3.0129999999999999</v>
      </c>
      <c r="AF64" s="206">
        <f t="shared" ca="1" si="25"/>
        <v>4.1130000000000004</v>
      </c>
    </row>
    <row r="65" spans="1:32" ht="17.25" customHeight="1">
      <c r="A65" s="56">
        <f t="shared" ca="1" si="29"/>
        <v>387.58305024828155</v>
      </c>
      <c r="B65" s="52" t="s">
        <v>175</v>
      </c>
      <c r="P65" s="228"/>
      <c r="Q65" s="228"/>
      <c r="R65" s="237" t="s">
        <v>287</v>
      </c>
      <c r="S65" s="270" t="str">
        <f t="shared" si="26"/>
        <v>FF  21st year of service</v>
      </c>
      <c r="T65" s="266" cm="1">
        <f t="array" aca="1" ref="T65" ca="1">IF($R65="Y",VLOOKUP(S65,INDIRECT($P$2),2,0)*INDIRECT($Q$2),VLOOKUP(S65,INDIRECT($P$2),2,0))</f>
        <v>387.58305024828155</v>
      </c>
      <c r="U65" s="238">
        <f t="shared" ca="1" si="27"/>
        <v>3.54929533194397</v>
      </c>
      <c r="V65" s="238">
        <f t="shared" ca="1" si="30"/>
        <v>4.8447881281035192</v>
      </c>
      <c r="W65" s="242"/>
      <c r="Y65" s="243"/>
      <c r="AB65" s="165" t="str">
        <f t="shared" si="19"/>
        <v>FF  21st year of service</v>
      </c>
      <c r="AC65" s="165"/>
      <c r="AD65" s="165"/>
      <c r="AE65" s="206">
        <f t="shared" ca="1" si="25"/>
        <v>3.5489999999999999</v>
      </c>
      <c r="AF65" s="206">
        <f t="shared" ca="1" si="25"/>
        <v>4.8449999999999998</v>
      </c>
    </row>
    <row r="66" spans="1:32" ht="17.25" customHeight="1">
      <c r="A66" s="56">
        <f t="shared" ca="1" si="29"/>
        <v>395.84176771558668</v>
      </c>
      <c r="B66" s="52" t="s">
        <v>176</v>
      </c>
      <c r="P66" s="228"/>
      <c r="Q66" s="228"/>
      <c r="R66" s="237" t="s">
        <v>287</v>
      </c>
      <c r="S66" s="270" t="str">
        <f t="shared" si="26"/>
        <v>FF  22nd year of service</v>
      </c>
      <c r="T66" s="266" cm="1">
        <f t="array" aca="1" ref="T66" ca="1">IF($R66="Y",VLOOKUP(S66,INDIRECT($P$2),2,0)*INDIRECT($Q$2),VLOOKUP(S66,INDIRECT($P$2),2,0))</f>
        <v>395.84176771558668</v>
      </c>
      <c r="U66" s="238">
        <f t="shared" ca="1" si="27"/>
        <v>3.6249246127800978</v>
      </c>
      <c r="V66" s="238">
        <f t="shared" ca="1" si="30"/>
        <v>4.9480220964448334</v>
      </c>
      <c r="W66" s="242"/>
      <c r="Y66" s="243"/>
      <c r="AB66" s="165" t="str">
        <f t="shared" si="19"/>
        <v>FF  22nd year of service</v>
      </c>
      <c r="AC66" s="165"/>
      <c r="AD66" s="165"/>
      <c r="AE66" s="206">
        <f t="shared" ca="1" si="25"/>
        <v>3.625</v>
      </c>
      <c r="AF66" s="206">
        <f t="shared" ca="1" si="25"/>
        <v>4.9480000000000004</v>
      </c>
    </row>
    <row r="67" spans="1:32" ht="17.25" customHeight="1">
      <c r="A67" s="56">
        <f t="shared" ca="1" si="29"/>
        <v>404.10048518289182</v>
      </c>
      <c r="B67" s="52" t="s">
        <v>177</v>
      </c>
      <c r="P67" s="228"/>
      <c r="Q67" s="228"/>
      <c r="R67" s="237" t="s">
        <v>287</v>
      </c>
      <c r="S67" s="270" t="str">
        <f t="shared" si="26"/>
        <v>FF  23rd year of service</v>
      </c>
      <c r="T67" s="266" cm="1">
        <f t="array" aca="1" ref="T67" ca="1">IF($R67="Y",VLOOKUP(S67,INDIRECT($P$2),2,0)*INDIRECT($Q$2),VLOOKUP(S67,INDIRECT($P$2),2,0))</f>
        <v>404.10048518289182</v>
      </c>
      <c r="U67" s="238">
        <f t="shared" ca="1" si="27"/>
        <v>3.7005538936162252</v>
      </c>
      <c r="V67" s="238">
        <f t="shared" ca="1" si="30"/>
        <v>5.0512560647861475</v>
      </c>
      <c r="W67" s="242"/>
      <c r="Y67" s="243"/>
      <c r="AB67" s="165" t="str">
        <f t="shared" si="19"/>
        <v>FF  23rd year of service</v>
      </c>
      <c r="AC67" s="165"/>
      <c r="AD67" s="165"/>
      <c r="AE67" s="206">
        <f t="shared" ca="1" si="25"/>
        <v>3.7010000000000001</v>
      </c>
      <c r="AF67" s="206">
        <f t="shared" ca="1" si="25"/>
        <v>5.0510000000000002</v>
      </c>
    </row>
    <row r="68" spans="1:32" ht="17.25" customHeight="1">
      <c r="A68" s="56">
        <f t="shared" ca="1" si="29"/>
        <v>412.35920265019701</v>
      </c>
      <c r="B68" s="52" t="s">
        <v>178</v>
      </c>
      <c r="P68" s="228"/>
      <c r="Q68" s="228"/>
      <c r="R68" s="237" t="s">
        <v>287</v>
      </c>
      <c r="S68" s="270" t="str">
        <f t="shared" si="26"/>
        <v>FF  24th year of service</v>
      </c>
      <c r="T68" s="266" cm="1">
        <f t="array" aca="1" ref="T68" ca="1">IF($R68="Y",VLOOKUP(S68,INDIRECT($P$2),2,0)*INDIRECT($Q$2),VLOOKUP(S68,INDIRECT($P$2),2,0))</f>
        <v>412.35920265019701</v>
      </c>
      <c r="U68" s="238">
        <f t="shared" ca="1" si="27"/>
        <v>3.7761831744523535</v>
      </c>
      <c r="V68" s="238">
        <f t="shared" ca="1" si="30"/>
        <v>5.1544900331274626</v>
      </c>
      <c r="W68" s="242"/>
      <c r="Y68" s="243"/>
      <c r="AB68" s="165" t="str">
        <f t="shared" si="19"/>
        <v>FF  24th year of service</v>
      </c>
      <c r="AC68" s="165"/>
      <c r="AD68" s="165"/>
      <c r="AE68" s="206">
        <f t="shared" ca="1" si="25"/>
        <v>3.7759999999999998</v>
      </c>
      <c r="AF68" s="206">
        <f t="shared" ca="1" si="25"/>
        <v>5.1539999999999999</v>
      </c>
    </row>
    <row r="69" spans="1:32" ht="17.25" customHeight="1">
      <c r="A69" s="56">
        <f t="shared" ca="1" si="29"/>
        <v>445.8396867712504</v>
      </c>
      <c r="B69" s="52" t="s">
        <v>179</v>
      </c>
      <c r="P69" s="228"/>
      <c r="Q69" s="228"/>
      <c r="R69" s="237" t="s">
        <v>287</v>
      </c>
      <c r="S69" s="270" t="str">
        <f t="shared" si="26"/>
        <v>FF  25th year of service</v>
      </c>
      <c r="T69" s="266" cm="1">
        <f t="array" aca="1" ref="T69" ca="1">IF($R69="Y",VLOOKUP(S69,INDIRECT($P$2),2,0)*INDIRECT($Q$2),VLOOKUP(S69,INDIRECT($P$2),2,0))</f>
        <v>445.8396867712504</v>
      </c>
      <c r="U69" s="238">
        <f t="shared" ca="1" si="27"/>
        <v>4.0827810143887397</v>
      </c>
      <c r="V69" s="238">
        <f t="shared" ca="1" si="30"/>
        <v>5.5729960846406303</v>
      </c>
      <c r="W69" s="242"/>
      <c r="Y69" s="243"/>
      <c r="AB69" s="165" t="str">
        <f t="shared" si="19"/>
        <v>FF  25th year of service</v>
      </c>
      <c r="AC69" s="165"/>
      <c r="AD69" s="165"/>
      <c r="AE69" s="206">
        <f t="shared" ca="1" si="25"/>
        <v>4.0830000000000002</v>
      </c>
      <c r="AF69" s="206">
        <f t="shared" ca="1" si="25"/>
        <v>5.5730000000000004</v>
      </c>
    </row>
    <row r="70" spans="1:32" ht="17.25" customHeight="1">
      <c r="A70" s="56">
        <f t="shared" ca="1" si="29"/>
        <v>510.69019594242314</v>
      </c>
      <c r="B70" s="52" t="s">
        <v>180</v>
      </c>
      <c r="P70" s="228"/>
      <c r="Q70" s="228"/>
      <c r="R70" s="237" t="s">
        <v>287</v>
      </c>
      <c r="S70" s="270" t="str">
        <f t="shared" si="26"/>
        <v>FF 26th year of service</v>
      </c>
      <c r="T70" s="266" cm="1">
        <f t="array" aca="1" ref="T70" ca="1">IF($R70="Y",VLOOKUP(S70,INDIRECT($P$2),2,0)*INDIRECT($Q$2),VLOOKUP(S70,INDIRECT($P$2),2,0))</f>
        <v>510.69019594242314</v>
      </c>
      <c r="U70" s="238">
        <f t="shared" ca="1" si="27"/>
        <v>4.6766501459928858</v>
      </c>
      <c r="V70" s="238">
        <f t="shared" ca="1" si="30"/>
        <v>6.3836274492802891</v>
      </c>
      <c r="W70" s="242"/>
      <c r="Y70" s="243"/>
      <c r="AB70" s="165" t="str">
        <f t="shared" si="19"/>
        <v>FF 26th year of service</v>
      </c>
      <c r="AC70" s="165"/>
      <c r="AD70" s="165"/>
      <c r="AE70" s="206">
        <f t="shared" ca="1" si="25"/>
        <v>4.6769999999999996</v>
      </c>
      <c r="AF70" s="206">
        <f t="shared" ca="1" si="25"/>
        <v>6.3840000000000003</v>
      </c>
    </row>
    <row r="71" spans="1:32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230"/>
    </row>
    <row r="72" spans="1:32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230"/>
    </row>
    <row r="73" spans="1:32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230"/>
    </row>
    <row r="74" spans="1:32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230"/>
    </row>
    <row r="75" spans="1:32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230"/>
    </row>
    <row r="76" spans="1:32">
      <c r="A76" s="42" t="s">
        <v>311</v>
      </c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46" t="s">
        <v>312</v>
      </c>
      <c r="P76" s="230"/>
    </row>
    <row r="77" spans="1:32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44"/>
      <c r="P77" s="230"/>
    </row>
    <row r="78" spans="1:32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44"/>
      <c r="P78" s="230"/>
    </row>
    <row r="79" spans="1:32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44"/>
      <c r="P79" s="230"/>
    </row>
    <row r="80" spans="1:32"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54"/>
      <c r="N80" s="44"/>
      <c r="P80" s="230"/>
    </row>
    <row r="81" spans="1:15">
      <c r="A81" s="41"/>
      <c r="B81" s="52"/>
    </row>
    <row r="82" spans="1:15">
      <c r="A82" s="41"/>
    </row>
    <row r="83" spans="1:15">
      <c r="A83" s="51"/>
    </row>
    <row r="84" spans="1:15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</row>
    <row r="85" spans="1:15">
      <c r="A85" s="51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44"/>
    </row>
    <row r="86" spans="1:15">
      <c r="A86" s="51"/>
      <c r="B86" s="52"/>
      <c r="O86" s="244"/>
    </row>
    <row r="87" spans="1:15">
      <c r="A87" s="51"/>
      <c r="B87" s="52"/>
      <c r="O87" s="244"/>
    </row>
    <row r="88" spans="1:15">
      <c r="A88" s="51"/>
      <c r="B88" s="52"/>
      <c r="O88" s="244"/>
    </row>
    <row r="89" spans="1:15">
      <c r="A89" s="51"/>
      <c r="B89" s="52"/>
      <c r="O89" s="244"/>
    </row>
    <row r="90" spans="1:15">
      <c r="A90" s="51"/>
      <c r="B90" s="52"/>
      <c r="O90" s="244"/>
    </row>
    <row r="91" spans="1:15">
      <c r="A91" s="51"/>
      <c r="B91" s="52"/>
      <c r="O91" s="244"/>
    </row>
    <row r="92" spans="1:15">
      <c r="A92" s="51"/>
      <c r="B92" s="52"/>
      <c r="O92" s="244"/>
    </row>
    <row r="93" spans="1:15">
      <c r="A93" s="51"/>
      <c r="B93" s="52"/>
      <c r="O93" s="244"/>
    </row>
    <row r="94" spans="1:15">
      <c r="A94" s="51"/>
      <c r="B94" s="52"/>
      <c r="O94" s="244"/>
    </row>
    <row r="95" spans="1:15">
      <c r="A95" s="51"/>
      <c r="B95" s="52"/>
      <c r="O95" s="244"/>
    </row>
    <row r="96" spans="1:15">
      <c r="A96" s="51"/>
      <c r="B96" s="52"/>
      <c r="O96" s="244"/>
    </row>
    <row r="97" spans="1:15">
      <c r="A97" s="51"/>
      <c r="B97" s="52"/>
      <c r="O97" s="244"/>
    </row>
    <row r="98" spans="1:15">
      <c r="A98" s="51"/>
      <c r="B98" s="52"/>
      <c r="O98" s="244"/>
    </row>
    <row r="99" spans="1:15">
      <c r="B99" s="52"/>
      <c r="O99" s="244"/>
    </row>
    <row r="100" spans="1:15">
      <c r="B100" s="52"/>
      <c r="O100" s="244"/>
    </row>
    <row r="101" spans="1:15">
      <c r="B101" s="52"/>
    </row>
    <row r="102" spans="1:15">
      <c r="B102" s="52"/>
    </row>
  </sheetData>
  <mergeCells count="5">
    <mergeCell ref="F3:L3"/>
    <mergeCell ref="U28:V28"/>
    <mergeCell ref="B84:N84"/>
    <mergeCell ref="B85:N85"/>
    <mergeCell ref="G7:L7"/>
  </mergeCells>
  <pageMargins left="0.25" right="0.25" top="0.75" bottom="0.75" header="0.3" footer="0.3"/>
  <pageSetup orientation="landscape" r:id="rId1"/>
  <headerFooter alignWithMargins="0"/>
  <rowBreaks count="2" manualBreakCount="2">
    <brk id="28" max="16383" man="1"/>
    <brk id="55" max="16383" man="1"/>
  </rowBreaks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63280-AAA0-426A-B090-B727DD666EFA}">
  <sheetPr codeName="Sheet27"/>
  <dimension ref="A1:AX102"/>
  <sheetViews>
    <sheetView showGridLines="0" topLeftCell="A8" zoomScale="110" zoomScaleNormal="110" workbookViewId="0">
      <selection activeCell="S8" sqref="S8:Z70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11" style="42" bestFit="1" customWidth="1"/>
    <col min="4" max="4" width="26.86328125" style="42" bestFit="1" customWidth="1"/>
    <col min="5" max="5" width="11.1328125" style="42" hidden="1" customWidth="1"/>
    <col min="6" max="6" width="6.73046875" style="42" hidden="1" customWidth="1"/>
    <col min="7" max="7" width="11" style="42" bestFit="1" customWidth="1"/>
    <col min="8" max="11" width="6.59765625" style="42" customWidth="1"/>
    <col min="12" max="12" width="6.59765625" style="42" bestFit="1" customWidth="1"/>
    <col min="13" max="13" width="6.3984375" style="42" customWidth="1"/>
    <col min="14" max="14" width="46.3984375" style="46" customWidth="1"/>
    <col min="15" max="15" width="25.59765625" style="228" hidden="1" customWidth="1"/>
    <col min="16" max="16" width="16.265625" style="229" hidden="1" customWidth="1"/>
    <col min="17" max="17" width="12.1328125" style="229" hidden="1" customWidth="1"/>
    <col min="18" max="18" width="8.1328125" style="229" hidden="1" customWidth="1"/>
    <col min="19" max="19" width="27" style="232" hidden="1" customWidth="1"/>
    <col min="20" max="20" width="27.59765625" style="229" hidden="1" customWidth="1"/>
    <col min="21" max="21" width="9.86328125" style="229" hidden="1" customWidth="1"/>
    <col min="22" max="26" width="7.73046875" style="229" hidden="1" customWidth="1"/>
    <col min="27" max="27" width="35.265625" style="42" hidden="1" customWidth="1"/>
    <col min="28" max="28" width="27" style="205" hidden="1" customWidth="1"/>
    <col min="29" max="29" width="6.3984375" style="205" hidden="1" customWidth="1"/>
    <col min="30" max="30" width="36.265625" style="205" hidden="1" customWidth="1"/>
    <col min="31" max="31" width="9.86328125" style="205" hidden="1" customWidth="1"/>
    <col min="32" max="36" width="7.73046875" style="205" hidden="1" customWidth="1"/>
    <col min="37" max="40" width="0" style="42" hidden="1" customWidth="1"/>
    <col min="51" max="16384" width="9.1328125" style="42"/>
  </cols>
  <sheetData>
    <row r="1" spans="1:40">
      <c r="A1" s="42" t="s">
        <v>310</v>
      </c>
    </row>
    <row r="2" spans="1:40" ht="15.75">
      <c r="A2" s="272" t="s">
        <v>140</v>
      </c>
      <c r="B2" s="41"/>
      <c r="C2" s="41"/>
      <c r="D2" s="41"/>
      <c r="E2" s="41"/>
      <c r="F2" s="41"/>
      <c r="G2" s="41"/>
      <c r="H2" s="41"/>
      <c r="O2" s="228" t="s">
        <v>288</v>
      </c>
      <c r="P2" s="229" t="s">
        <v>294</v>
      </c>
      <c r="Q2" s="230" t="s">
        <v>293</v>
      </c>
      <c r="R2" s="231">
        <v>1.0449999999999999</v>
      </c>
    </row>
    <row r="3" spans="1:40" ht="15.75">
      <c r="A3" s="246" t="s">
        <v>308</v>
      </c>
      <c r="B3" s="44"/>
      <c r="C3" s="44"/>
      <c r="D3" s="41"/>
      <c r="E3" s="41"/>
      <c r="F3" s="282" t="s">
        <v>80</v>
      </c>
      <c r="G3" s="282"/>
      <c r="H3" s="282"/>
      <c r="I3" s="282"/>
      <c r="J3" s="282"/>
      <c r="K3" s="282"/>
      <c r="L3" s="282"/>
      <c r="M3" s="41"/>
      <c r="N3" s="44"/>
      <c r="U3" s="229">
        <v>3</v>
      </c>
      <c r="V3" s="229">
        <v>4</v>
      </c>
      <c r="W3" s="229">
        <v>5</v>
      </c>
      <c r="X3" s="229">
        <v>6</v>
      </c>
      <c r="Y3" s="229">
        <v>7</v>
      </c>
      <c r="Z3" s="229">
        <v>8</v>
      </c>
    </row>
    <row r="4" spans="1:40">
      <c r="A4" s="247" t="str">
        <f>"Increase %: "&amp;TEXT(R2-1,"0.00%")</f>
        <v>Increase %: 4.50%</v>
      </c>
      <c r="B4" s="44"/>
      <c r="C4" s="44"/>
      <c r="D4" s="41"/>
      <c r="E4" s="41"/>
      <c r="F4" s="43"/>
      <c r="G4" s="43"/>
      <c r="H4" s="43"/>
      <c r="I4" s="43"/>
      <c r="J4" s="43"/>
      <c r="K4" s="43"/>
      <c r="L4" s="43"/>
      <c r="M4" s="41"/>
      <c r="N4" s="44"/>
    </row>
    <row r="5" spans="1:40">
      <c r="A5" s="50" t="s">
        <v>307</v>
      </c>
      <c r="B5" s="44"/>
      <c r="C5" s="44"/>
      <c r="D5" s="41"/>
      <c r="E5" s="41"/>
      <c r="F5" s="43"/>
      <c r="G5" s="43"/>
      <c r="H5" s="43"/>
      <c r="I5" s="43"/>
      <c r="J5" s="43"/>
      <c r="K5" s="43"/>
      <c r="L5" s="43"/>
      <c r="M5" s="41"/>
      <c r="N5" s="44"/>
    </row>
    <row r="6" spans="1:40" ht="14.65" thickBot="1">
      <c r="A6" s="50"/>
      <c r="B6" s="44"/>
      <c r="C6" s="44"/>
      <c r="D6" s="41"/>
      <c r="E6" s="41"/>
      <c r="F6" s="43"/>
      <c r="G6" s="43"/>
      <c r="H6" s="43"/>
      <c r="I6" s="43"/>
      <c r="J6" s="43"/>
      <c r="K6" s="43"/>
      <c r="L6" s="43"/>
      <c r="M6" s="41"/>
      <c r="N6" s="44"/>
      <c r="O6" s="240" t="s">
        <v>301</v>
      </c>
      <c r="AB6" s="248" t="s">
        <v>302</v>
      </c>
    </row>
    <row r="7" spans="1:40" ht="14.65" thickBot="1">
      <c r="A7" s="43"/>
      <c r="B7" s="44"/>
      <c r="C7" s="44"/>
      <c r="D7" s="41"/>
      <c r="E7" s="41"/>
      <c r="F7" s="43"/>
      <c r="G7" s="283" t="s">
        <v>300</v>
      </c>
      <c r="H7" s="284"/>
      <c r="I7" s="284"/>
      <c r="J7" s="284"/>
      <c r="K7" s="284"/>
      <c r="L7" s="285"/>
      <c r="M7" s="41"/>
      <c r="N7" s="44"/>
      <c r="AL7" s="46">
        <v>6</v>
      </c>
      <c r="AM7" s="46">
        <f>AL7+1</f>
        <v>7</v>
      </c>
      <c r="AN7" s="46">
        <f t="shared" ref="AN7" si="0">AM7+1</f>
        <v>8</v>
      </c>
    </row>
    <row r="8" spans="1:40" ht="30" customHeight="1" thickBot="1">
      <c r="A8" s="175" t="s">
        <v>137</v>
      </c>
      <c r="B8" s="176" t="s">
        <v>114</v>
      </c>
      <c r="C8" s="176" t="s">
        <v>138</v>
      </c>
      <c r="D8" s="177" t="s">
        <v>4</v>
      </c>
      <c r="E8" s="177" t="s">
        <v>5</v>
      </c>
      <c r="F8" s="249" t="s">
        <v>6</v>
      </c>
      <c r="G8" s="255" t="s">
        <v>7</v>
      </c>
      <c r="H8" s="256" t="s">
        <v>8</v>
      </c>
      <c r="I8" s="256" t="s">
        <v>9</v>
      </c>
      <c r="J8" s="256" t="s">
        <v>10</v>
      </c>
      <c r="K8" s="256" t="s">
        <v>11</v>
      </c>
      <c r="L8" s="257" t="s">
        <v>12</v>
      </c>
      <c r="M8" s="45"/>
      <c r="N8" s="42"/>
      <c r="O8" s="233" t="s">
        <v>285</v>
      </c>
      <c r="P8" s="233" t="s">
        <v>277</v>
      </c>
      <c r="Q8" s="233" t="s">
        <v>138</v>
      </c>
      <c r="R8" s="233" t="s">
        <v>286</v>
      </c>
      <c r="S8" s="233" t="s">
        <v>137</v>
      </c>
      <c r="T8" s="234" t="s">
        <v>279</v>
      </c>
      <c r="U8" s="234" t="s">
        <v>7</v>
      </c>
      <c r="V8" s="234" t="s">
        <v>8</v>
      </c>
      <c r="W8" s="234" t="s">
        <v>9</v>
      </c>
      <c r="X8" s="234" t="s">
        <v>10</v>
      </c>
      <c r="Y8" s="234" t="s">
        <v>11</v>
      </c>
      <c r="Z8" s="234" t="s">
        <v>12</v>
      </c>
      <c r="AB8" s="204" t="s">
        <v>137</v>
      </c>
      <c r="AC8" s="164" t="s">
        <v>138</v>
      </c>
      <c r="AD8" s="161" t="s">
        <v>279</v>
      </c>
      <c r="AE8" s="161" t="s">
        <v>7</v>
      </c>
      <c r="AF8" s="161" t="s">
        <v>8</v>
      </c>
      <c r="AG8" s="161" t="s">
        <v>9</v>
      </c>
      <c r="AH8" s="161" t="s">
        <v>10</v>
      </c>
      <c r="AI8" s="161" t="s">
        <v>11</v>
      </c>
      <c r="AJ8" s="161" t="s">
        <v>12</v>
      </c>
      <c r="AL8" s="161" t="s">
        <v>7</v>
      </c>
      <c r="AM8" s="161" t="s">
        <v>8</v>
      </c>
      <c r="AN8" s="161" t="s">
        <v>9</v>
      </c>
    </row>
    <row r="9" spans="1:40" ht="18.75" customHeight="1">
      <c r="A9" s="179" t="s">
        <v>157</v>
      </c>
      <c r="B9" s="173" t="s">
        <v>115</v>
      </c>
      <c r="C9" s="173" t="str">
        <f>Q9</f>
        <v>CFG 5</v>
      </c>
      <c r="D9" s="174" t="s">
        <v>84</v>
      </c>
      <c r="E9" s="171"/>
      <c r="F9" s="250" t="s">
        <v>17</v>
      </c>
      <c r="G9" s="258">
        <f ca="1">U9*$O9</f>
        <v>1964.0169422499998</v>
      </c>
      <c r="H9" s="259"/>
      <c r="I9" s="259"/>
      <c r="J9" s="259"/>
      <c r="K9" s="259"/>
      <c r="L9" s="260"/>
      <c r="M9" s="45"/>
      <c r="N9" s="42"/>
      <c r="O9" s="235">
        <v>80</v>
      </c>
      <c r="P9" s="236" t="s">
        <v>143</v>
      </c>
      <c r="Q9" s="237" t="s">
        <v>156</v>
      </c>
      <c r="R9" s="237" t="s">
        <v>287</v>
      </c>
      <c r="S9" s="237" t="str">
        <f t="shared" ref="S9:S22" si="1">A9</f>
        <v>04440C</v>
      </c>
      <c r="T9" s="235" t="s">
        <v>84</v>
      </c>
      <c r="U9" s="238" cm="1">
        <f t="array" aca="1" ref="U9" ca="1">IF($R9="Y",VLOOKUP($S9,INDIRECT($P$2),U$3,0)*INDIRECT($Q$2),VLOOKUP($S9,INDIRECT($P$2),U$3,0))</f>
        <v>24.550211778124996</v>
      </c>
      <c r="V9" s="238"/>
      <c r="W9" s="238"/>
      <c r="X9" s="238"/>
      <c r="Y9" s="238"/>
      <c r="Z9" s="238"/>
      <c r="AB9" s="165" t="str">
        <f>S9</f>
        <v>04440C</v>
      </c>
      <c r="AC9" s="165" t="str">
        <f t="shared" ref="AC9:AC22" si="2">C9</f>
        <v>CFG 5</v>
      </c>
      <c r="AD9" s="165" t="str">
        <f>T9</f>
        <v>Fire Cadet</v>
      </c>
      <c r="AE9" s="206">
        <f ca="1">ROUND(U9,3)</f>
        <v>24.55</v>
      </c>
      <c r="AF9" s="165"/>
      <c r="AG9" s="165"/>
      <c r="AH9" s="165"/>
      <c r="AI9" s="165"/>
      <c r="AJ9" s="165"/>
      <c r="AL9" s="42">
        <f>VLOOKUP($AB9,[2]Sheet3!$A$1:$J$403,AL$7,0)</f>
        <v>24.55</v>
      </c>
      <c r="AM9" s="42">
        <f>VLOOKUP($AB9,[2]Sheet3!$A$1:$J$403,AM$7,0)</f>
        <v>0</v>
      </c>
      <c r="AN9" s="42">
        <f>VLOOKUP($AB9,[2]Sheet3!$A$1:$J$403,AN$7,0)</f>
        <v>0</v>
      </c>
    </row>
    <row r="10" spans="1:40" ht="18.75" customHeight="1">
      <c r="A10" s="180" t="s">
        <v>15</v>
      </c>
      <c r="B10" s="63" t="s">
        <v>115</v>
      </c>
      <c r="C10" s="173" t="str">
        <f t="shared" ref="C10:C22" si="3">Q10</f>
        <v>CFH 1</v>
      </c>
      <c r="D10" s="59" t="s">
        <v>16</v>
      </c>
      <c r="E10" s="59">
        <v>353</v>
      </c>
      <c r="F10" s="251" t="s">
        <v>17</v>
      </c>
      <c r="G10" s="253">
        <f ca="1">U10*$O10</f>
        <v>2805.6896792924999</v>
      </c>
      <c r="H10" s="188">
        <f t="shared" ref="H10:L10" ca="1" si="4">V10*$O10</f>
        <v>2917.9076751824996</v>
      </c>
      <c r="I10" s="188">
        <f t="shared" ca="1" si="4"/>
        <v>3034.6815298799993</v>
      </c>
      <c r="J10" s="188">
        <f t="shared" ca="1" si="4"/>
        <v>3156.0112433849995</v>
      </c>
      <c r="K10" s="188">
        <f t="shared" ca="1" si="4"/>
        <v>3282.2564887612498</v>
      </c>
      <c r="L10" s="189">
        <f t="shared" ca="1" si="4"/>
        <v>3413.5371570299994</v>
      </c>
      <c r="M10" s="47"/>
      <c r="N10" s="42"/>
      <c r="O10" s="235">
        <v>109.2</v>
      </c>
      <c r="P10" s="237" t="s">
        <v>144</v>
      </c>
      <c r="Q10" s="237" t="s">
        <v>235</v>
      </c>
      <c r="R10" s="237" t="s">
        <v>287</v>
      </c>
      <c r="S10" s="237" t="str">
        <f t="shared" si="1"/>
        <v>04450C</v>
      </c>
      <c r="T10" s="271" t="s">
        <v>16</v>
      </c>
      <c r="U10" s="238" cm="1">
        <f t="array" aca="1" ref="U10" ca="1">IF($R10="Y",VLOOKUP($S10,INDIRECT($P$2),U$3,0)*INDIRECT($Q$2),VLOOKUP($S10,INDIRECT($P$2),U$3,0))</f>
        <v>25.693128931249998</v>
      </c>
      <c r="V10" s="238" cm="1">
        <f t="array" aca="1" ref="V10" ca="1">IF($R10="Y",VLOOKUP($S10,INDIRECT($P$2),V$3,0)*INDIRECT($Q$2),VLOOKUP($S10,INDIRECT($P$2),V$3,0))</f>
        <v>26.720766256249995</v>
      </c>
      <c r="W10" s="238" cm="1">
        <f t="array" aca="1" ref="W10" ca="1">IF($R10="Y",VLOOKUP($S10,INDIRECT($P$2),W$3,0)*INDIRECT($Q$2),VLOOKUP($S10,INDIRECT($P$2),W$3,0))</f>
        <v>27.790123899999994</v>
      </c>
      <c r="X10" s="238" cm="1">
        <f t="array" aca="1" ref="X10" ca="1">IF($R10="Y",VLOOKUP($S10,INDIRECT($P$2),X$3,0)*INDIRECT($Q$2),VLOOKUP($S10,INDIRECT($P$2),X$3,0))</f>
        <v>28.901201862499995</v>
      </c>
      <c r="Y10" s="238" cm="1">
        <f t="array" aca="1" ref="Y10" ca="1">IF($R10="Y",VLOOKUP($S10,INDIRECT($P$2),Y$3,0)*INDIRECT($Q$2),VLOOKUP($S10,INDIRECT($P$2),Y$3,0))</f>
        <v>30.057293853124996</v>
      </c>
      <c r="Z10" s="238" cm="1">
        <f t="array" aca="1" ref="Z10" ca="1">IF($R10="Y",VLOOKUP($S10,INDIRECT($P$2),Z$3,0)*INDIRECT($Q$2),VLOOKUP($S10,INDIRECT($P$2),Z$3,0))</f>
        <v>31.259497774999993</v>
      </c>
      <c r="AB10" s="165" t="str">
        <f>S10</f>
        <v>04450C</v>
      </c>
      <c r="AC10" s="165" t="str">
        <f t="shared" si="2"/>
        <v>CFH 1</v>
      </c>
      <c r="AD10" s="165" t="str">
        <f>T10</f>
        <v>Fire Fighter</v>
      </c>
      <c r="AE10" s="206">
        <f ca="1">ROUND(U10,3)</f>
        <v>25.693000000000001</v>
      </c>
      <c r="AF10" s="206">
        <f t="shared" ref="AF10:AJ12" ca="1" si="5">ROUND(V10,3)</f>
        <v>26.721</v>
      </c>
      <c r="AG10" s="206">
        <f t="shared" ca="1" si="5"/>
        <v>27.79</v>
      </c>
      <c r="AH10" s="206">
        <f t="shared" ca="1" si="5"/>
        <v>28.901</v>
      </c>
      <c r="AI10" s="206">
        <f t="shared" ca="1" si="5"/>
        <v>30.056999999999999</v>
      </c>
      <c r="AJ10" s="206">
        <f t="shared" ca="1" si="5"/>
        <v>31.259</v>
      </c>
    </row>
    <row r="11" spans="1:40" ht="18.75" customHeight="1">
      <c r="A11" s="180" t="s">
        <v>19</v>
      </c>
      <c r="B11" s="63" t="s">
        <v>115</v>
      </c>
      <c r="C11" s="173" t="str">
        <f t="shared" si="3"/>
        <v>CFI 1</v>
      </c>
      <c r="D11" s="59" t="s">
        <v>20</v>
      </c>
      <c r="E11" s="59">
        <v>353</v>
      </c>
      <c r="F11" s="251" t="s">
        <v>17</v>
      </c>
      <c r="G11" s="253">
        <f t="shared" ref="G11:G12" ca="1" si="6">U11*$O11</f>
        <v>2805.7133939999999</v>
      </c>
      <c r="H11" s="188">
        <f t="shared" ref="H11:H12" ca="1" si="7">V11*$O11</f>
        <v>2917.9630094999989</v>
      </c>
      <c r="I11" s="188">
        <f t="shared" ref="I11:I12" ca="1" si="8">W11*$O11</f>
        <v>3034.6920697499991</v>
      </c>
      <c r="J11" s="188">
        <f t="shared" ref="J11:J12" ca="1" si="9">X11*$O11</f>
        <v>3156.0762392500001</v>
      </c>
      <c r="K11" s="188">
        <f t="shared" ref="K11:K12" ca="1" si="10">Y11*$O11</f>
        <v>3282.2911824999992</v>
      </c>
      <c r="L11" s="189">
        <f t="shared" ref="L11:L12" ca="1" si="11">Z11*$O11</f>
        <v>3413.6003962499985</v>
      </c>
      <c r="M11" s="47"/>
      <c r="N11" s="42"/>
      <c r="O11" s="235">
        <v>80</v>
      </c>
      <c r="P11" s="237" t="s">
        <v>143</v>
      </c>
      <c r="Q11" s="237" t="s">
        <v>234</v>
      </c>
      <c r="R11" s="237" t="s">
        <v>287</v>
      </c>
      <c r="S11" s="237" t="str">
        <f t="shared" si="1"/>
        <v>04451C</v>
      </c>
      <c r="T11" s="235" t="s">
        <v>20</v>
      </c>
      <c r="U11" s="238" cm="1">
        <f t="array" aca="1" ref="U11" ca="1">IF($R11="Y",VLOOKUP($S11,INDIRECT($P$2),U$3,0)*INDIRECT($Q$2),VLOOKUP($S11,INDIRECT($P$2),U$3,0))</f>
        <v>35.071417425</v>
      </c>
      <c r="V11" s="238" cm="1">
        <f t="array" aca="1" ref="V11" ca="1">IF($R11="Y",VLOOKUP($S11,INDIRECT($P$2),V$3,0)*INDIRECT($Q$2),VLOOKUP($S11,INDIRECT($P$2),V$3,0))</f>
        <v>36.474537618749984</v>
      </c>
      <c r="W11" s="238" cm="1">
        <f t="array" aca="1" ref="W11" ca="1">IF($R11="Y",VLOOKUP($S11,INDIRECT($P$2),W$3,0)*INDIRECT($Q$2),VLOOKUP($S11,INDIRECT($P$2),W$3,0))</f>
        <v>37.933650871874988</v>
      </c>
      <c r="X11" s="238" cm="1">
        <f t="array" aca="1" ref="X11" ca="1">IF($R11="Y",VLOOKUP($S11,INDIRECT($P$2),X$3,0)*INDIRECT($Q$2),VLOOKUP($S11,INDIRECT($P$2),X$3,0))</f>
        <v>39.450952990624998</v>
      </c>
      <c r="Y11" s="238" cm="1">
        <f t="array" aca="1" ref="Y11" ca="1">IF($R11="Y",VLOOKUP($S11,INDIRECT($P$2),Y$3,0)*INDIRECT($Q$2),VLOOKUP($S11,INDIRECT($P$2),Y$3,0))</f>
        <v>41.028639781249993</v>
      </c>
      <c r="Z11" s="238" cm="1">
        <f t="array" aca="1" ref="Z11" ca="1">IF($R11="Y",VLOOKUP($S11,INDIRECT($P$2),Z$3,0)*INDIRECT($Q$2),VLOOKUP($S11,INDIRECT($P$2),Z$3,0))</f>
        <v>42.67000495312498</v>
      </c>
      <c r="AB11" s="165" t="str">
        <f t="shared" ref="AB11:AB23" si="12">S11</f>
        <v>04451C</v>
      </c>
      <c r="AC11" s="165" t="str">
        <f t="shared" si="2"/>
        <v>CFI 1</v>
      </c>
      <c r="AD11" s="165" t="str">
        <f t="shared" ref="AD11:AD23" si="13">T11</f>
        <v>Fire Fighter (40 hrs.)</v>
      </c>
      <c r="AE11" s="206">
        <f t="shared" ref="AE11:AE12" ca="1" si="14">ROUND(U11,3)</f>
        <v>35.070999999999998</v>
      </c>
      <c r="AF11" s="206">
        <f t="shared" ca="1" si="5"/>
        <v>36.475000000000001</v>
      </c>
      <c r="AG11" s="206">
        <f t="shared" ca="1" si="5"/>
        <v>37.933999999999997</v>
      </c>
      <c r="AH11" s="206">
        <f t="shared" ca="1" si="5"/>
        <v>39.451000000000001</v>
      </c>
      <c r="AI11" s="206">
        <f t="shared" ca="1" si="5"/>
        <v>41.029000000000003</v>
      </c>
      <c r="AJ11" s="206">
        <f t="shared" ca="1" si="5"/>
        <v>42.67</v>
      </c>
    </row>
    <row r="12" spans="1:40" ht="18.75" customHeight="1">
      <c r="A12" s="180" t="s">
        <v>21</v>
      </c>
      <c r="B12" s="63" t="s">
        <v>115</v>
      </c>
      <c r="C12" s="173" t="str">
        <f t="shared" si="3"/>
        <v>CFF 1</v>
      </c>
      <c r="D12" s="59" t="s">
        <v>22</v>
      </c>
      <c r="E12" s="59"/>
      <c r="F12" s="251" t="s">
        <v>17</v>
      </c>
      <c r="G12" s="253">
        <f t="shared" ca="1" si="6"/>
        <v>2805.6896792924999</v>
      </c>
      <c r="H12" s="188">
        <f t="shared" ca="1" si="7"/>
        <v>2917.9076751824996</v>
      </c>
      <c r="I12" s="188">
        <f t="shared" ca="1" si="8"/>
        <v>3034.6815298799993</v>
      </c>
      <c r="J12" s="188">
        <f t="shared" ca="1" si="9"/>
        <v>3156.0112433849995</v>
      </c>
      <c r="K12" s="188">
        <f t="shared" ca="1" si="10"/>
        <v>3282.2564887612498</v>
      </c>
      <c r="L12" s="189">
        <f t="shared" ca="1" si="11"/>
        <v>3413.5371570299994</v>
      </c>
      <c r="M12" s="47"/>
      <c r="N12" s="42"/>
      <c r="O12" s="235">
        <v>109.2</v>
      </c>
      <c r="P12" s="237" t="s">
        <v>144</v>
      </c>
      <c r="Q12" s="237" t="s">
        <v>148</v>
      </c>
      <c r="R12" s="237" t="s">
        <v>287</v>
      </c>
      <c r="S12" s="237" t="str">
        <f t="shared" si="1"/>
        <v>04388C</v>
      </c>
      <c r="T12" s="235" t="s">
        <v>22</v>
      </c>
      <c r="U12" s="238" cm="1">
        <f t="array" aca="1" ref="U12" ca="1">IF($R12="Y",VLOOKUP($S12,INDIRECT($P$2),U$3,0)*INDIRECT($Q$2),VLOOKUP($S12,INDIRECT($P$2),U$3,0))</f>
        <v>25.693128931249998</v>
      </c>
      <c r="V12" s="238" cm="1">
        <f t="array" aca="1" ref="V12" ca="1">IF($R12="Y",VLOOKUP($S12,INDIRECT($P$2),V$3,0)*INDIRECT($Q$2),VLOOKUP($S12,INDIRECT($P$2),V$3,0))</f>
        <v>26.720766256249995</v>
      </c>
      <c r="W12" s="238" cm="1">
        <f t="array" aca="1" ref="W12" ca="1">IF($R12="Y",VLOOKUP($S12,INDIRECT($P$2),W$3,0)*INDIRECT($Q$2),VLOOKUP($S12,INDIRECT($P$2),W$3,0))</f>
        <v>27.790123899999994</v>
      </c>
      <c r="X12" s="238" cm="1">
        <f t="array" aca="1" ref="X12" ca="1">IF($R12="Y",VLOOKUP($S12,INDIRECT($P$2),X$3,0)*INDIRECT($Q$2),VLOOKUP($S12,INDIRECT($P$2),X$3,0))</f>
        <v>28.901201862499995</v>
      </c>
      <c r="Y12" s="238" cm="1">
        <f t="array" aca="1" ref="Y12" ca="1">IF($R12="Y",VLOOKUP($S12,INDIRECT($P$2),Y$3,0)*INDIRECT($Q$2),VLOOKUP($S12,INDIRECT($P$2),Y$3,0))</f>
        <v>30.057293853124996</v>
      </c>
      <c r="Z12" s="238" cm="1">
        <f t="array" aca="1" ref="Z12" ca="1">IF($R12="Y",VLOOKUP($S12,INDIRECT($P$2),Z$3,0)*INDIRECT($Q$2),VLOOKUP($S12,INDIRECT($P$2),Z$3,0))</f>
        <v>31.259497774999993</v>
      </c>
      <c r="AB12" s="165" t="str">
        <f t="shared" si="12"/>
        <v>04388C</v>
      </c>
      <c r="AC12" s="165" t="str">
        <f t="shared" si="2"/>
        <v>CFF 1</v>
      </c>
      <c r="AD12" s="165" t="str">
        <f t="shared" si="13"/>
        <v>Fire Inspector 1</v>
      </c>
      <c r="AE12" s="206">
        <f t="shared" ca="1" si="14"/>
        <v>25.693000000000001</v>
      </c>
      <c r="AF12" s="206">
        <f t="shared" ca="1" si="5"/>
        <v>26.721</v>
      </c>
      <c r="AG12" s="206">
        <f t="shared" ca="1" si="5"/>
        <v>27.79</v>
      </c>
      <c r="AH12" s="206">
        <f t="shared" ca="1" si="5"/>
        <v>28.901</v>
      </c>
      <c r="AI12" s="206">
        <f t="shared" ca="1" si="5"/>
        <v>30.056999999999999</v>
      </c>
      <c r="AJ12" s="206">
        <f t="shared" ca="1" si="5"/>
        <v>31.259</v>
      </c>
      <c r="AL12" s="42">
        <f>VLOOKUP($AB12,[2]Sheet3!$A$392:$K$398,AL$7,0)</f>
        <v>25.693000000000001</v>
      </c>
      <c r="AM12" s="42">
        <f>VLOOKUP($AB12,[2]Sheet3!$A$392:$K$398,AM$7,0)</f>
        <v>26.721</v>
      </c>
      <c r="AN12" s="42">
        <f>VLOOKUP($AB12,[2]Sheet3!$A$392:$K$398,AN$7,0)</f>
        <v>27.79</v>
      </c>
    </row>
    <row r="13" spans="1:40" ht="18.75" customHeight="1">
      <c r="A13" s="180" t="s">
        <v>23</v>
      </c>
      <c r="B13" s="63" t="s">
        <v>115</v>
      </c>
      <c r="C13" s="173" t="str">
        <f t="shared" si="3"/>
        <v>CFF 2</v>
      </c>
      <c r="D13" s="59" t="s">
        <v>24</v>
      </c>
      <c r="E13" s="59"/>
      <c r="F13" s="251" t="s">
        <v>17</v>
      </c>
      <c r="G13" s="253">
        <f t="shared" ref="G13:G22" ca="1" si="15">U13*$O13</f>
        <v>3478.0385264624997</v>
      </c>
      <c r="H13" s="188">
        <f t="shared" ref="H13:H22" ca="1" si="16">V13*$O13</f>
        <v>3614.594399666249</v>
      </c>
      <c r="I13" s="188">
        <f t="shared" ref="I13:I22" ca="1" si="17">W13*$O13</f>
        <v>3834.2347505962493</v>
      </c>
      <c r="J13" s="188"/>
      <c r="K13" s="188"/>
      <c r="L13" s="189"/>
      <c r="M13" s="47"/>
      <c r="N13" s="42"/>
      <c r="O13" s="235">
        <v>109.2</v>
      </c>
      <c r="P13" s="237" t="s">
        <v>144</v>
      </c>
      <c r="Q13" s="237" t="s">
        <v>150</v>
      </c>
      <c r="R13" s="237" t="s">
        <v>287</v>
      </c>
      <c r="S13" s="237" t="str">
        <f t="shared" si="1"/>
        <v>04420C</v>
      </c>
      <c r="T13" s="235" t="s">
        <v>24</v>
      </c>
      <c r="U13" s="238" cm="1">
        <f t="array" aca="1" ref="U13" ca="1">IF($R13="Y",VLOOKUP($S13,INDIRECT($P$2),U$3,0)*INDIRECT($Q$2),VLOOKUP($S13,INDIRECT($P$2),U$3,0))</f>
        <v>31.850169656249996</v>
      </c>
      <c r="V13" s="238" cm="1">
        <f t="array" aca="1" ref="V13" ca="1">IF($R13="Y",VLOOKUP($S13,INDIRECT($P$2),V$3,0)*INDIRECT($Q$2),VLOOKUP($S13,INDIRECT($P$2),V$3,0))</f>
        <v>33.100681315624989</v>
      </c>
      <c r="W13" s="238" cm="1">
        <f t="array" aca="1" ref="W13" ca="1">IF($R13="Y",VLOOKUP($S13,INDIRECT($P$2),W$3,0)*INDIRECT($Q$2),VLOOKUP($S13,INDIRECT($P$2),W$3,0))</f>
        <v>35.112039840624995</v>
      </c>
      <c r="X13" s="238"/>
      <c r="Y13" s="238"/>
      <c r="Z13" s="238"/>
      <c r="AB13" s="165" t="str">
        <f t="shared" si="12"/>
        <v>04420C</v>
      </c>
      <c r="AC13" s="165" t="str">
        <f t="shared" si="2"/>
        <v>CFF 2</v>
      </c>
      <c r="AD13" s="165" t="str">
        <f t="shared" si="13"/>
        <v>Fire Motor Operator</v>
      </c>
      <c r="AE13" s="206">
        <f t="shared" ref="AE13:AE23" ca="1" si="18">ROUND(U13,3)</f>
        <v>31.85</v>
      </c>
      <c r="AF13" s="206">
        <f t="shared" ref="AF13:AF23" ca="1" si="19">ROUND(V13,3)</f>
        <v>33.100999999999999</v>
      </c>
      <c r="AG13" s="206">
        <f t="shared" ref="AG13:AG23" ca="1" si="20">ROUND(W13,3)</f>
        <v>35.112000000000002</v>
      </c>
      <c r="AH13" s="206"/>
      <c r="AI13" s="206"/>
      <c r="AJ13" s="206"/>
      <c r="AL13" s="42">
        <f>VLOOKUP($AB13,[2]Sheet3!$A$392:$K$398,AL$7,0)</f>
        <v>31.85</v>
      </c>
      <c r="AM13" s="42">
        <f>VLOOKUP($AB13,[2]Sheet3!$A$392:$K$398,AM$7,0)</f>
        <v>33.100999999999999</v>
      </c>
      <c r="AN13" s="42">
        <f>VLOOKUP($AB13,[2]Sheet3!$A$392:$K$398,AN$7,0)</f>
        <v>35.112000000000002</v>
      </c>
    </row>
    <row r="14" spans="1:40" ht="18.75" customHeight="1">
      <c r="A14" s="180" t="s">
        <v>195</v>
      </c>
      <c r="B14" s="63" t="s">
        <v>115</v>
      </c>
      <c r="C14" s="173" t="str">
        <f t="shared" si="3"/>
        <v>CFG 2</v>
      </c>
      <c r="D14" s="59" t="s">
        <v>26</v>
      </c>
      <c r="E14" s="59"/>
      <c r="F14" s="251" t="s">
        <v>17</v>
      </c>
      <c r="G14" s="253">
        <f t="shared" ca="1" si="15"/>
        <v>3478.0692677499983</v>
      </c>
      <c r="H14" s="188">
        <f t="shared" ca="1" si="16"/>
        <v>3614.6484164999988</v>
      </c>
      <c r="I14" s="188">
        <f t="shared" ca="1" si="17"/>
        <v>3834.2290414999984</v>
      </c>
      <c r="J14" s="188"/>
      <c r="K14" s="188"/>
      <c r="L14" s="189"/>
      <c r="M14" s="47"/>
      <c r="N14" s="42"/>
      <c r="O14" s="235">
        <v>80</v>
      </c>
      <c r="P14" s="237" t="s">
        <v>143</v>
      </c>
      <c r="Q14" s="237" t="s">
        <v>151</v>
      </c>
      <c r="R14" s="237" t="s">
        <v>287</v>
      </c>
      <c r="S14" s="237" t="str">
        <f t="shared" si="1"/>
        <v>04421C</v>
      </c>
      <c r="T14" s="235" t="s">
        <v>26</v>
      </c>
      <c r="U14" s="238" cm="1">
        <f t="array" aca="1" ref="U14" ca="1">IF($R14="Y",VLOOKUP($S14,INDIRECT($P$2),U$3,0)*INDIRECT($Q$2),VLOOKUP($S14,INDIRECT($P$2),U$3,0))</f>
        <v>43.475865846874981</v>
      </c>
      <c r="V14" s="238" cm="1">
        <f t="array" aca="1" ref="V14" ca="1">IF($R14="Y",VLOOKUP($S14,INDIRECT($P$2),V$3,0)*INDIRECT($Q$2),VLOOKUP($S14,INDIRECT($P$2),V$3,0))</f>
        <v>45.183105206249984</v>
      </c>
      <c r="W14" s="238" cm="1">
        <f t="array" aca="1" ref="W14" ca="1">IF($R14="Y",VLOOKUP($S14,INDIRECT($P$2),W$3,0)*INDIRECT($Q$2),VLOOKUP($S14,INDIRECT($P$2),W$3,0))</f>
        <v>47.927863018749981</v>
      </c>
      <c r="X14" s="238"/>
      <c r="Y14" s="238"/>
      <c r="Z14" s="238"/>
      <c r="AB14" s="165" t="str">
        <f t="shared" si="12"/>
        <v>04421C</v>
      </c>
      <c r="AC14" s="165" t="str">
        <f t="shared" si="2"/>
        <v>CFG 2</v>
      </c>
      <c r="AD14" s="165" t="str">
        <f t="shared" si="13"/>
        <v>Fire Motor Operator (40 hrs.)</v>
      </c>
      <c r="AE14" s="206">
        <f t="shared" ca="1" si="18"/>
        <v>43.475999999999999</v>
      </c>
      <c r="AF14" s="206">
        <f t="shared" ca="1" si="19"/>
        <v>45.183</v>
      </c>
      <c r="AG14" s="206">
        <f t="shared" ca="1" si="20"/>
        <v>47.927999999999997</v>
      </c>
      <c r="AH14" s="206"/>
      <c r="AI14" s="206"/>
      <c r="AJ14" s="206"/>
      <c r="AL14" s="42">
        <f>VLOOKUP($AB14,[2]Sheet3!$A$1:$J$403,AL$7,0)</f>
        <v>43.475999999999999</v>
      </c>
      <c r="AM14" s="42">
        <f>VLOOKUP($AB14,[2]Sheet3!$A$1:$J$403,AM$7,0)</f>
        <v>45.183</v>
      </c>
      <c r="AN14" s="42">
        <f>VLOOKUP($AB14,[2]Sheet3!$A$1:$J$403,AN$7,0)</f>
        <v>47.927999999999997</v>
      </c>
    </row>
    <row r="15" spans="1:40" ht="18.75" customHeight="1">
      <c r="A15" s="180" t="s">
        <v>27</v>
      </c>
      <c r="B15" s="63" t="s">
        <v>115</v>
      </c>
      <c r="C15" s="173" t="str">
        <f t="shared" si="3"/>
        <v>CFF 2</v>
      </c>
      <c r="D15" s="59" t="s">
        <v>28</v>
      </c>
      <c r="E15" s="59"/>
      <c r="F15" s="251" t="s">
        <v>17</v>
      </c>
      <c r="G15" s="253">
        <f t="shared" ca="1" si="15"/>
        <v>3478.0385264624997</v>
      </c>
      <c r="H15" s="188">
        <f t="shared" ca="1" si="16"/>
        <v>3614.594399666249</v>
      </c>
      <c r="I15" s="188">
        <f t="shared" ca="1" si="17"/>
        <v>3834.2347505962493</v>
      </c>
      <c r="J15" s="188"/>
      <c r="K15" s="188"/>
      <c r="L15" s="189"/>
      <c r="M15" s="47"/>
      <c r="N15" s="42"/>
      <c r="O15" s="235">
        <v>109.2</v>
      </c>
      <c r="P15" s="237" t="s">
        <v>144</v>
      </c>
      <c r="Q15" s="237" t="s">
        <v>150</v>
      </c>
      <c r="R15" s="237" t="s">
        <v>287</v>
      </c>
      <c r="S15" s="237" t="str">
        <f t="shared" si="1"/>
        <v>04389C</v>
      </c>
      <c r="T15" s="235" t="s">
        <v>28</v>
      </c>
      <c r="U15" s="238" cm="1">
        <f t="array" aca="1" ref="U15" ca="1">IF($R15="Y",VLOOKUP($S15,INDIRECT($P$2),U$3,0)*INDIRECT($Q$2),VLOOKUP($S15,INDIRECT($P$2),U$3,0))</f>
        <v>31.850169656249996</v>
      </c>
      <c r="V15" s="238" cm="1">
        <f t="array" aca="1" ref="V15" ca="1">IF($R15="Y",VLOOKUP($S15,INDIRECT($P$2),V$3,0)*INDIRECT($Q$2),VLOOKUP($S15,INDIRECT($P$2),V$3,0))</f>
        <v>33.100681315624989</v>
      </c>
      <c r="W15" s="238" cm="1">
        <f t="array" aca="1" ref="W15" ca="1">IF($R15="Y",VLOOKUP($S15,INDIRECT($P$2),W$3,0)*INDIRECT($Q$2),VLOOKUP($S15,INDIRECT($P$2),W$3,0))</f>
        <v>35.112039840624995</v>
      </c>
      <c r="X15" s="238"/>
      <c r="Y15" s="238"/>
      <c r="Z15" s="238"/>
      <c r="AB15" s="165" t="str">
        <f t="shared" si="12"/>
        <v>04389C</v>
      </c>
      <c r="AC15" s="165" t="str">
        <f t="shared" si="2"/>
        <v>CFF 2</v>
      </c>
      <c r="AD15" s="165" t="str">
        <f t="shared" si="13"/>
        <v>Fire Inspector 2</v>
      </c>
      <c r="AE15" s="206">
        <f t="shared" ca="1" si="18"/>
        <v>31.85</v>
      </c>
      <c r="AF15" s="206">
        <f t="shared" ca="1" si="19"/>
        <v>33.100999999999999</v>
      </c>
      <c r="AG15" s="206">
        <f t="shared" ca="1" si="20"/>
        <v>35.112000000000002</v>
      </c>
      <c r="AH15" s="206"/>
      <c r="AI15" s="206"/>
      <c r="AJ15" s="206"/>
      <c r="AL15" s="42">
        <f>VLOOKUP($AB15,[2]Sheet3!$A$392:$K$398,AL$7,0)</f>
        <v>31.85</v>
      </c>
      <c r="AM15" s="42">
        <f>VLOOKUP($AB15,[2]Sheet3!$A$392:$K$398,AM$7,0)</f>
        <v>33.100999999999999</v>
      </c>
      <c r="AN15" s="42">
        <f>VLOOKUP($AB15,[2]Sheet3!$A$392:$K$398,AN$7,0)</f>
        <v>35.112000000000002</v>
      </c>
    </row>
    <row r="16" spans="1:40" ht="18.75" customHeight="1">
      <c r="A16" s="180" t="s">
        <v>29</v>
      </c>
      <c r="B16" s="63" t="s">
        <v>115</v>
      </c>
      <c r="C16" s="173" t="str">
        <f t="shared" si="3"/>
        <v>CFF 3</v>
      </c>
      <c r="D16" s="59" t="s">
        <v>30</v>
      </c>
      <c r="E16" s="59"/>
      <c r="F16" s="251" t="s">
        <v>17</v>
      </c>
      <c r="G16" s="253">
        <f t="shared" ca="1" si="15"/>
        <v>3942.3764517637487</v>
      </c>
      <c r="H16" s="188">
        <f t="shared" ca="1" si="16"/>
        <v>4098.7143434737491</v>
      </c>
      <c r="I16" s="188">
        <f t="shared" ca="1" si="17"/>
        <v>4349.5263599287482</v>
      </c>
      <c r="J16" s="188"/>
      <c r="K16" s="188"/>
      <c r="L16" s="189"/>
      <c r="M16" s="47"/>
      <c r="N16" s="42"/>
      <c r="O16" s="235">
        <v>109.2</v>
      </c>
      <c r="P16" s="237" t="s">
        <v>144</v>
      </c>
      <c r="Q16" s="237" t="s">
        <v>152</v>
      </c>
      <c r="R16" s="237" t="s">
        <v>287</v>
      </c>
      <c r="S16" s="237" t="str">
        <f t="shared" si="1"/>
        <v>04370C</v>
      </c>
      <c r="T16" s="271" t="s">
        <v>30</v>
      </c>
      <c r="U16" s="238" cm="1">
        <f t="array" aca="1" ref="U16" ca="1">IF($R16="Y",VLOOKUP($S16,INDIRECT($P$2),U$3,0)*INDIRECT($Q$2),VLOOKUP($S16,INDIRECT($P$2),U$3,0))</f>
        <v>36.102348459374987</v>
      </c>
      <c r="V16" s="238" cm="1">
        <f t="array" aca="1" ref="V16" ca="1">IF($R16="Y",VLOOKUP($S16,INDIRECT($P$2),V$3,0)*INDIRECT($Q$2),VLOOKUP($S16,INDIRECT($P$2),V$3,0))</f>
        <v>37.534014134374992</v>
      </c>
      <c r="W16" s="238" cm="1">
        <f t="array" aca="1" ref="W16" ca="1">IF($R16="Y",VLOOKUP($S16,INDIRECT($P$2),W$3,0)*INDIRECT($Q$2),VLOOKUP($S16,INDIRECT($P$2),W$3,0))</f>
        <v>39.830827471874983</v>
      </c>
      <c r="X16" s="238"/>
      <c r="Y16" s="238"/>
      <c r="Z16" s="238"/>
      <c r="AB16" s="165" t="str">
        <f t="shared" si="12"/>
        <v>04370C</v>
      </c>
      <c r="AC16" s="165" t="str">
        <f t="shared" si="2"/>
        <v>CFF 3</v>
      </c>
      <c r="AD16" s="165" t="str">
        <f t="shared" si="13"/>
        <v>Fire Captain</v>
      </c>
      <c r="AE16" s="206">
        <f t="shared" ca="1" si="18"/>
        <v>36.101999999999997</v>
      </c>
      <c r="AF16" s="206">
        <f t="shared" ca="1" si="19"/>
        <v>37.533999999999999</v>
      </c>
      <c r="AG16" s="206">
        <f t="shared" ca="1" si="20"/>
        <v>39.831000000000003</v>
      </c>
      <c r="AH16" s="206"/>
      <c r="AI16" s="206"/>
      <c r="AJ16" s="206"/>
      <c r="AL16" s="42">
        <f>VLOOKUP($AB16,[2]Sheet3!$A$392:$K$398,AL$7,0)</f>
        <v>36.101999999999997</v>
      </c>
      <c r="AM16" s="42">
        <f>VLOOKUP($AB16,[2]Sheet3!$A$392:$K$398,AM$7,0)</f>
        <v>37.533999999999999</v>
      </c>
      <c r="AN16" s="42">
        <f>VLOOKUP($AB16,[2]Sheet3!$A$392:$K$398,AN$7,0)</f>
        <v>39.831000000000003</v>
      </c>
    </row>
    <row r="17" spans="1:40" ht="18.75" customHeight="1">
      <c r="A17" s="180" t="s">
        <v>31</v>
      </c>
      <c r="B17" s="63" t="s">
        <v>115</v>
      </c>
      <c r="C17" s="173" t="str">
        <f t="shared" si="3"/>
        <v>CFG 3</v>
      </c>
      <c r="D17" s="59" t="s">
        <v>32</v>
      </c>
      <c r="E17" s="59"/>
      <c r="F17" s="251" t="s">
        <v>17</v>
      </c>
      <c r="G17" s="253">
        <f t="shared" ca="1" si="15"/>
        <v>3942.350541249999</v>
      </c>
      <c r="H17" s="188">
        <f t="shared" ca="1" si="16"/>
        <v>4098.6919462499991</v>
      </c>
      <c r="I17" s="188">
        <f t="shared" ca="1" si="17"/>
        <v>4349.5408522499993</v>
      </c>
      <c r="J17" s="188"/>
      <c r="K17" s="188"/>
      <c r="L17" s="189"/>
      <c r="M17" s="47"/>
      <c r="N17" s="42"/>
      <c r="O17" s="235">
        <v>80</v>
      </c>
      <c r="P17" s="237" t="s">
        <v>143</v>
      </c>
      <c r="Q17" s="237" t="s">
        <v>153</v>
      </c>
      <c r="R17" s="237" t="s">
        <v>287</v>
      </c>
      <c r="S17" s="237" t="str">
        <f t="shared" si="1"/>
        <v>04371C</v>
      </c>
      <c r="T17" s="235" t="s">
        <v>32</v>
      </c>
      <c r="U17" s="238" cm="1">
        <f t="array" aca="1" ref="U17" ca="1">IF($R17="Y",VLOOKUP($S17,INDIRECT($P$2),U$3,0)*INDIRECT($Q$2),VLOOKUP($S17,INDIRECT($P$2),U$3,0))</f>
        <v>49.27938176562499</v>
      </c>
      <c r="V17" s="238" cm="1">
        <f t="array" aca="1" ref="V17" ca="1">IF($R17="Y",VLOOKUP($S17,INDIRECT($P$2),V$3,0)*INDIRECT($Q$2),VLOOKUP($S17,INDIRECT($P$2),V$3,0))</f>
        <v>51.233649328124983</v>
      </c>
      <c r="W17" s="238" cm="1">
        <f t="array" aca="1" ref="W17" ca="1">IF($R17="Y",VLOOKUP($S17,INDIRECT($P$2),W$3,0)*INDIRECT($Q$2),VLOOKUP($S17,INDIRECT($P$2),W$3,0))</f>
        <v>54.369260653124989</v>
      </c>
      <c r="X17" s="238"/>
      <c r="Y17" s="238"/>
      <c r="Z17" s="238"/>
      <c r="AB17" s="165" t="str">
        <f t="shared" si="12"/>
        <v>04371C</v>
      </c>
      <c r="AC17" s="165" t="str">
        <f t="shared" si="2"/>
        <v>CFG 3</v>
      </c>
      <c r="AD17" s="165" t="str">
        <f t="shared" si="13"/>
        <v>Fire Captain (40 hrs.)</v>
      </c>
      <c r="AE17" s="206">
        <f t="shared" ca="1" si="18"/>
        <v>49.279000000000003</v>
      </c>
      <c r="AF17" s="206">
        <f t="shared" ca="1" si="19"/>
        <v>51.234000000000002</v>
      </c>
      <c r="AG17" s="206">
        <f t="shared" ca="1" si="20"/>
        <v>54.369</v>
      </c>
      <c r="AH17" s="206"/>
      <c r="AI17" s="206"/>
      <c r="AJ17" s="206"/>
      <c r="AL17" s="42">
        <f>VLOOKUP($AB17,[2]Sheet3!$A$1:$J$403,AL$7,0)</f>
        <v>49.279000000000003</v>
      </c>
      <c r="AM17" s="42">
        <f>VLOOKUP($AB17,[2]Sheet3!$A$1:$J$403,AM$7,0)</f>
        <v>51.234000000000002</v>
      </c>
      <c r="AN17" s="42">
        <f>VLOOKUP($AB17,[2]Sheet3!$A$1:$J$403,AN$7,0)</f>
        <v>54.369</v>
      </c>
    </row>
    <row r="18" spans="1:40" ht="18.75" customHeight="1">
      <c r="A18" s="180" t="s">
        <v>33</v>
      </c>
      <c r="B18" s="63" t="s">
        <v>115</v>
      </c>
      <c r="C18" s="173" t="str">
        <f t="shared" si="3"/>
        <v>CFF 3</v>
      </c>
      <c r="D18" s="59" t="s">
        <v>34</v>
      </c>
      <c r="E18" s="59"/>
      <c r="F18" s="251" t="s">
        <v>17</v>
      </c>
      <c r="G18" s="253">
        <f t="shared" ca="1" si="15"/>
        <v>3942.3764517637487</v>
      </c>
      <c r="H18" s="188">
        <f t="shared" ca="1" si="16"/>
        <v>4098.7143434737491</v>
      </c>
      <c r="I18" s="188">
        <f t="shared" ca="1" si="17"/>
        <v>4349.5263599287482</v>
      </c>
      <c r="J18" s="188"/>
      <c r="K18" s="188"/>
      <c r="L18" s="189"/>
      <c r="M18" s="47"/>
      <c r="N18" s="42"/>
      <c r="O18" s="235">
        <v>109.2</v>
      </c>
      <c r="P18" s="237" t="s">
        <v>144</v>
      </c>
      <c r="Q18" s="237" t="s">
        <v>152</v>
      </c>
      <c r="R18" s="237" t="s">
        <v>287</v>
      </c>
      <c r="S18" s="237" t="str">
        <f t="shared" si="1"/>
        <v>04400C</v>
      </c>
      <c r="T18" s="235" t="s">
        <v>34</v>
      </c>
      <c r="U18" s="238" cm="1">
        <f t="array" aca="1" ref="U18" ca="1">IF($R18="Y",VLOOKUP($S18,INDIRECT($P$2),U$3,0)*INDIRECT($Q$2),VLOOKUP($S18,INDIRECT($P$2),U$3,0))</f>
        <v>36.102348459374987</v>
      </c>
      <c r="V18" s="238" cm="1">
        <f t="array" aca="1" ref="V18" ca="1">IF($R18="Y",VLOOKUP($S18,INDIRECT($P$2),V$3,0)*INDIRECT($Q$2),VLOOKUP($S18,INDIRECT($P$2),V$3,0))</f>
        <v>37.534014134374992</v>
      </c>
      <c r="W18" s="238" cm="1">
        <f t="array" aca="1" ref="W18" ca="1">IF($R18="Y",VLOOKUP($S18,INDIRECT($P$2),W$3,0)*INDIRECT($Q$2),VLOOKUP($S18,INDIRECT($P$2),W$3,0))</f>
        <v>39.830827471874983</v>
      </c>
      <c r="X18" s="238"/>
      <c r="Y18" s="238"/>
      <c r="Z18" s="238"/>
      <c r="AB18" s="165" t="str">
        <f t="shared" si="12"/>
        <v>04400C</v>
      </c>
      <c r="AC18" s="165" t="str">
        <f t="shared" si="2"/>
        <v>CFF 3</v>
      </c>
      <c r="AD18" s="165" t="str">
        <f t="shared" si="13"/>
        <v>Fire Investigator</v>
      </c>
      <c r="AE18" s="206">
        <f t="shared" ca="1" si="18"/>
        <v>36.101999999999997</v>
      </c>
      <c r="AF18" s="206">
        <f t="shared" ca="1" si="19"/>
        <v>37.533999999999999</v>
      </c>
      <c r="AG18" s="206">
        <f t="shared" ca="1" si="20"/>
        <v>39.831000000000003</v>
      </c>
      <c r="AH18" s="206"/>
      <c r="AI18" s="206"/>
      <c r="AJ18" s="206"/>
      <c r="AL18" s="42">
        <f>VLOOKUP($AB18,[2]Sheet3!$A$392:$K$398,AL$7,0)</f>
        <v>36.101999999999997</v>
      </c>
      <c r="AM18" s="42">
        <f>VLOOKUP($AB18,[2]Sheet3!$A$392:$K$398,AM$7,0)</f>
        <v>37.533999999999999</v>
      </c>
      <c r="AN18" s="42">
        <f>VLOOKUP($AB18,[2]Sheet3!$A$392:$K$398,AN$7,0)</f>
        <v>39.831000000000003</v>
      </c>
    </row>
    <row r="19" spans="1:40" ht="18.75" customHeight="1">
      <c r="A19" s="180" t="s">
        <v>35</v>
      </c>
      <c r="B19" s="63" t="s">
        <v>115</v>
      </c>
      <c r="C19" s="173" t="str">
        <f t="shared" si="3"/>
        <v>CFG 3</v>
      </c>
      <c r="D19" s="59" t="s">
        <v>36</v>
      </c>
      <c r="E19" s="59"/>
      <c r="F19" s="251" t="s">
        <v>17</v>
      </c>
      <c r="G19" s="253">
        <f t="shared" ca="1" si="15"/>
        <v>3942.350541249999</v>
      </c>
      <c r="H19" s="188">
        <f t="shared" ca="1" si="16"/>
        <v>4098.6919462499991</v>
      </c>
      <c r="I19" s="188">
        <f t="shared" ca="1" si="17"/>
        <v>4349.5408522499993</v>
      </c>
      <c r="J19" s="188"/>
      <c r="K19" s="188"/>
      <c r="L19" s="189"/>
      <c r="M19" s="47"/>
      <c r="N19" s="42"/>
      <c r="O19" s="235">
        <v>80</v>
      </c>
      <c r="P19" s="237" t="s">
        <v>143</v>
      </c>
      <c r="Q19" s="237" t="s">
        <v>153</v>
      </c>
      <c r="R19" s="237" t="s">
        <v>287</v>
      </c>
      <c r="S19" s="237" t="str">
        <f t="shared" si="1"/>
        <v>04401C</v>
      </c>
      <c r="T19" s="235" t="s">
        <v>36</v>
      </c>
      <c r="U19" s="238" cm="1">
        <f t="array" aca="1" ref="U19" ca="1">IF($R19="Y",VLOOKUP($S19,INDIRECT($P$2),U$3,0)*INDIRECT($Q$2),VLOOKUP($S19,INDIRECT($P$2),U$3,0))</f>
        <v>49.27938176562499</v>
      </c>
      <c r="V19" s="238" cm="1">
        <f t="array" aca="1" ref="V19" ca="1">IF($R19="Y",VLOOKUP($S19,INDIRECT($P$2),V$3,0)*INDIRECT($Q$2),VLOOKUP($S19,INDIRECT($P$2),V$3,0))</f>
        <v>51.233649328124983</v>
      </c>
      <c r="W19" s="238" cm="1">
        <f t="array" aca="1" ref="W19" ca="1">IF($R19="Y",VLOOKUP($S19,INDIRECT($P$2),W$3,0)*INDIRECT($Q$2),VLOOKUP($S19,INDIRECT($P$2),W$3,0))</f>
        <v>54.369260653124989</v>
      </c>
      <c r="X19" s="238"/>
      <c r="Y19" s="238"/>
      <c r="Z19" s="238"/>
      <c r="AB19" s="165" t="str">
        <f t="shared" si="12"/>
        <v>04401C</v>
      </c>
      <c r="AC19" s="165" t="str">
        <f t="shared" si="2"/>
        <v>CFG 3</v>
      </c>
      <c r="AD19" s="165" t="str">
        <f t="shared" si="13"/>
        <v>Fire Investigator (40 hrs.)</v>
      </c>
      <c r="AE19" s="206">
        <f t="shared" ca="1" si="18"/>
        <v>49.279000000000003</v>
      </c>
      <c r="AF19" s="206">
        <f t="shared" ca="1" si="19"/>
        <v>51.234000000000002</v>
      </c>
      <c r="AG19" s="206">
        <f t="shared" ca="1" si="20"/>
        <v>54.369</v>
      </c>
      <c r="AH19" s="206"/>
      <c r="AI19" s="206"/>
      <c r="AJ19" s="206"/>
      <c r="AL19" s="42">
        <f>VLOOKUP($AB19,[2]Sheet3!$A$1:$J$403,AL$7,0)</f>
        <v>49.279000000000003</v>
      </c>
      <c r="AM19" s="42">
        <f>VLOOKUP($AB19,[2]Sheet3!$A$1:$J$403,AM$7,0)</f>
        <v>51.234000000000002</v>
      </c>
      <c r="AN19" s="42">
        <f>VLOOKUP($AB19,[2]Sheet3!$A$1:$J$403,AN$7,0)</f>
        <v>54.369</v>
      </c>
    </row>
    <row r="20" spans="1:40" ht="18.75" customHeight="1">
      <c r="A20" s="180" t="s">
        <v>37</v>
      </c>
      <c r="B20" s="63" t="s">
        <v>115</v>
      </c>
      <c r="C20" s="173" t="str">
        <f t="shared" si="3"/>
        <v>CFF 3</v>
      </c>
      <c r="D20" s="59" t="s">
        <v>38</v>
      </c>
      <c r="E20" s="59"/>
      <c r="F20" s="251" t="s">
        <v>17</v>
      </c>
      <c r="G20" s="253">
        <f t="shared" ca="1" si="15"/>
        <v>3942.3764517637487</v>
      </c>
      <c r="H20" s="188">
        <f t="shared" ca="1" si="16"/>
        <v>4098.7143434737491</v>
      </c>
      <c r="I20" s="188">
        <f t="shared" ca="1" si="17"/>
        <v>4349.5263599287482</v>
      </c>
      <c r="J20" s="188"/>
      <c r="K20" s="188"/>
      <c r="L20" s="189"/>
      <c r="M20" s="47"/>
      <c r="N20" s="42"/>
      <c r="O20" s="235">
        <v>109.2</v>
      </c>
      <c r="P20" s="237" t="s">
        <v>144</v>
      </c>
      <c r="Q20" s="237" t="s">
        <v>152</v>
      </c>
      <c r="R20" s="237" t="s">
        <v>287</v>
      </c>
      <c r="S20" s="237" t="str">
        <f t="shared" si="1"/>
        <v>04390C</v>
      </c>
      <c r="T20" s="235" t="s">
        <v>38</v>
      </c>
      <c r="U20" s="238" cm="1">
        <f t="array" aca="1" ref="U20" ca="1">IF($R20="Y",VLOOKUP($S20,INDIRECT($P$2),U$3,0)*INDIRECT($Q$2),VLOOKUP($S20,INDIRECT($P$2),U$3,0))</f>
        <v>36.102348459374987</v>
      </c>
      <c r="V20" s="238" cm="1">
        <f t="array" aca="1" ref="V20" ca="1">IF($R20="Y",VLOOKUP($S20,INDIRECT($P$2),V$3,0)*INDIRECT($Q$2),VLOOKUP($S20,INDIRECT($P$2),V$3,0))</f>
        <v>37.534014134374992</v>
      </c>
      <c r="W20" s="238" cm="1">
        <f t="array" aca="1" ref="W20" ca="1">IF($R20="Y",VLOOKUP($S20,INDIRECT($P$2),W$3,0)*INDIRECT($Q$2),VLOOKUP($S20,INDIRECT($P$2),W$3,0))</f>
        <v>39.830827471874983</v>
      </c>
      <c r="X20" s="238"/>
      <c r="Y20" s="238"/>
      <c r="Z20" s="238"/>
      <c r="AB20" s="165" t="str">
        <f t="shared" si="12"/>
        <v>04390C</v>
      </c>
      <c r="AC20" s="165" t="str">
        <f t="shared" si="2"/>
        <v>CFF 3</v>
      </c>
      <c r="AD20" s="165" t="str">
        <f t="shared" si="13"/>
        <v>Fire Inspector 3</v>
      </c>
      <c r="AE20" s="206">
        <f t="shared" ca="1" si="18"/>
        <v>36.101999999999997</v>
      </c>
      <c r="AF20" s="206">
        <f t="shared" ca="1" si="19"/>
        <v>37.533999999999999</v>
      </c>
      <c r="AG20" s="206">
        <f t="shared" ca="1" si="20"/>
        <v>39.831000000000003</v>
      </c>
      <c r="AH20" s="206"/>
      <c r="AI20" s="206"/>
      <c r="AJ20" s="206"/>
      <c r="AL20" s="42">
        <f>VLOOKUP($AB20,[2]Sheet3!$A$392:$K$398,AL$7,0)</f>
        <v>36.101999999999997</v>
      </c>
      <c r="AM20" s="42">
        <f>VLOOKUP($AB20,[2]Sheet3!$A$392:$K$398,AM$7,0)</f>
        <v>37.533999999999999</v>
      </c>
      <c r="AN20" s="42">
        <f>VLOOKUP($AB20,[2]Sheet3!$A$392:$K$398,AN$7,0)</f>
        <v>39.831000000000003</v>
      </c>
    </row>
    <row r="21" spans="1:40" ht="18.75" customHeight="1">
      <c r="A21" s="180" t="s">
        <v>41</v>
      </c>
      <c r="B21" s="63" t="s">
        <v>115</v>
      </c>
      <c r="C21" s="173" t="str">
        <f t="shared" si="3"/>
        <v>CFF 4</v>
      </c>
      <c r="D21" s="65" t="s">
        <v>113</v>
      </c>
      <c r="E21" s="59"/>
      <c r="F21" s="251" t="s">
        <v>17</v>
      </c>
      <c r="G21" s="253">
        <f t="shared" ca="1" si="15"/>
        <v>4034.9323201687498</v>
      </c>
      <c r="H21" s="188">
        <f t="shared" ca="1" si="16"/>
        <v>4103.2702022812491</v>
      </c>
      <c r="I21" s="188">
        <f t="shared" ca="1" si="17"/>
        <v>4173.0467766487491</v>
      </c>
      <c r="J21" s="188">
        <f t="shared" ref="J21:J22" ca="1" si="21">X21*$O21</f>
        <v>4242.823351016249</v>
      </c>
      <c r="K21" s="188">
        <f t="shared" ref="K21:K22" ca="1" si="22">Y21*$O21</f>
        <v>4501.668065894999</v>
      </c>
      <c r="L21" s="189"/>
      <c r="M21" s="47"/>
      <c r="N21" s="42"/>
      <c r="O21" s="235">
        <v>109.2</v>
      </c>
      <c r="P21" s="237" t="s">
        <v>144</v>
      </c>
      <c r="Q21" s="237" t="s">
        <v>154</v>
      </c>
      <c r="R21" s="237" t="s">
        <v>287</v>
      </c>
      <c r="S21" s="237" t="str">
        <f t="shared" si="1"/>
        <v>04436C</v>
      </c>
      <c r="T21" s="239" t="s">
        <v>113</v>
      </c>
      <c r="U21" s="238" cm="1">
        <f t="array" aca="1" ref="U21" ca="1">IF($R21="Y",VLOOKUP($S21,INDIRECT($P$2),U$3,0)*INDIRECT($Q$2),VLOOKUP($S21,INDIRECT($P$2),U$3,0))</f>
        <v>36.949929671874997</v>
      </c>
      <c r="V21" s="238" cm="1">
        <f t="array" aca="1" ref="V21" ca="1">IF($R21="Y",VLOOKUP($S21,INDIRECT($P$2),V$3,0)*INDIRECT($Q$2),VLOOKUP($S21,INDIRECT($P$2),V$3,0))</f>
        <v>37.575734453124987</v>
      </c>
      <c r="W21" s="238" cm="1">
        <f t="array" aca="1" ref="W21" ca="1">IF($R21="Y",VLOOKUP($S21,INDIRECT($P$2),W$3,0)*INDIRECT($Q$2),VLOOKUP($S21,INDIRECT($P$2),W$3,0))</f>
        <v>38.214714071874987</v>
      </c>
      <c r="X21" s="238" cm="1">
        <f t="array" aca="1" ref="X21" ca="1">IF($R21="Y",VLOOKUP($S21,INDIRECT($P$2),X$3,0)*INDIRECT($Q$2),VLOOKUP($S21,INDIRECT($P$2),X$3,0))</f>
        <v>38.853693690624986</v>
      </c>
      <c r="Y21" s="238" cm="1">
        <f t="array" aca="1" ref="Y21" ca="1">IF($R21="Y",VLOOKUP($S21,INDIRECT($P$2),Y$3,0)*INDIRECT($Q$2),VLOOKUP($S21,INDIRECT($P$2),Y$3,0))</f>
        <v>41.224066537499986</v>
      </c>
      <c r="Z21" s="238"/>
      <c r="AB21" s="165" t="str">
        <f t="shared" si="12"/>
        <v>04436C</v>
      </c>
      <c r="AC21" s="165" t="str">
        <f t="shared" si="2"/>
        <v>CFF 4</v>
      </c>
      <c r="AD21" s="165" t="str">
        <f t="shared" si="13"/>
        <v xml:space="preserve">Fire Staff Captain </v>
      </c>
      <c r="AE21" s="206">
        <f t="shared" ca="1" si="18"/>
        <v>36.950000000000003</v>
      </c>
      <c r="AF21" s="206">
        <f t="shared" ca="1" si="19"/>
        <v>37.576000000000001</v>
      </c>
      <c r="AG21" s="206">
        <f t="shared" ca="1" si="20"/>
        <v>38.215000000000003</v>
      </c>
      <c r="AH21" s="206">
        <f t="shared" ref="AH21:AH23" ca="1" si="23">ROUND(X21,3)</f>
        <v>38.853999999999999</v>
      </c>
      <c r="AI21" s="206">
        <f t="shared" ref="AI21:AI23" ca="1" si="24">ROUND(Y21,3)</f>
        <v>41.223999999999997</v>
      </c>
      <c r="AJ21" s="206"/>
      <c r="AL21" s="42">
        <f>VLOOKUP($AB21,[2]Sheet3!$A$392:$K$398,AL$7,0)</f>
        <v>36.950000000000003</v>
      </c>
      <c r="AM21" s="42">
        <f>VLOOKUP($AB21,[2]Sheet3!$A$392:$K$398,AM$7,0)</f>
        <v>37.576000000000001</v>
      </c>
      <c r="AN21" s="42">
        <f>VLOOKUP($AB21,[2]Sheet3!$A$392:$K$398,AN$7,0)</f>
        <v>38.215000000000003</v>
      </c>
    </row>
    <row r="22" spans="1:40" ht="18.75" customHeight="1" thickBot="1">
      <c r="A22" s="181" t="s">
        <v>39</v>
      </c>
      <c r="B22" s="182" t="s">
        <v>115</v>
      </c>
      <c r="C22" s="182" t="str">
        <f t="shared" si="3"/>
        <v>CFG 4</v>
      </c>
      <c r="D22" s="183" t="s">
        <v>42</v>
      </c>
      <c r="E22" s="184"/>
      <c r="F22" s="252" t="s">
        <v>17</v>
      </c>
      <c r="G22" s="254">
        <f t="shared" ca="1" si="15"/>
        <v>4034.925732749999</v>
      </c>
      <c r="H22" s="190">
        <f t="shared" ca="1" si="16"/>
        <v>4103.2592232499992</v>
      </c>
      <c r="I22" s="190">
        <f t="shared" ca="1" si="17"/>
        <v>4173.085861999999</v>
      </c>
      <c r="J22" s="190">
        <f t="shared" ca="1" si="21"/>
        <v>4242.8246684999986</v>
      </c>
      <c r="K22" s="190">
        <f t="shared" ca="1" si="22"/>
        <v>4501.6663092499984</v>
      </c>
      <c r="L22" s="191"/>
      <c r="M22" s="47"/>
      <c r="N22" s="42"/>
      <c r="O22" s="235">
        <v>80</v>
      </c>
      <c r="P22" s="237" t="s">
        <v>143</v>
      </c>
      <c r="Q22" s="237" t="s">
        <v>155</v>
      </c>
      <c r="R22" s="237" t="s">
        <v>287</v>
      </c>
      <c r="S22" s="237" t="str">
        <f t="shared" si="1"/>
        <v>04435C</v>
      </c>
      <c r="T22" s="235" t="s">
        <v>42</v>
      </c>
      <c r="U22" s="238" cm="1">
        <f t="array" aca="1" ref="U22" ca="1">IF($R22="Y",VLOOKUP($S22,INDIRECT($P$2),U$3,0)*INDIRECT($Q$2),VLOOKUP($S22,INDIRECT($P$2),U$3,0))</f>
        <v>50.436571659374991</v>
      </c>
      <c r="V22" s="238" cm="1">
        <f t="array" aca="1" ref="V22" ca="1">IF($R22="Y",VLOOKUP($S22,INDIRECT($P$2),V$3,0)*INDIRECT($Q$2),VLOOKUP($S22,INDIRECT($P$2),V$3,0))</f>
        <v>51.290740290624989</v>
      </c>
      <c r="W22" s="238" cm="1">
        <f t="array" aca="1" ref="W22" ca="1">IF($R22="Y",VLOOKUP($S22,INDIRECT($P$2),W$3,0)*INDIRECT($Q$2),VLOOKUP($S22,INDIRECT($P$2),W$3,0))</f>
        <v>52.163573274999983</v>
      </c>
      <c r="X22" s="238" cm="1">
        <f t="array" aca="1" ref="X22" ca="1">IF($R22="Y",VLOOKUP($S22,INDIRECT($P$2),X$3,0)*INDIRECT($Q$2),VLOOKUP($S22,INDIRECT($P$2),X$3,0))</f>
        <v>53.035308356249985</v>
      </c>
      <c r="Y22" s="238" cm="1">
        <f t="array" aca="1" ref="Y22" ca="1">IF($R22="Y",VLOOKUP($S22,INDIRECT($P$2),Y$3,0)*INDIRECT($Q$2),VLOOKUP($S22,INDIRECT($P$2),Y$3,0))</f>
        <v>56.270828865624985</v>
      </c>
      <c r="Z22" s="238"/>
      <c r="AB22" s="165" t="str">
        <f t="shared" si="12"/>
        <v>04435C</v>
      </c>
      <c r="AC22" s="165" t="str">
        <f t="shared" si="2"/>
        <v>CFG 4</v>
      </c>
      <c r="AD22" s="165" t="str">
        <f t="shared" si="13"/>
        <v>Fire Staff Captain (40 hrs.)</v>
      </c>
      <c r="AE22" s="206">
        <f t="shared" ca="1" si="18"/>
        <v>50.436999999999998</v>
      </c>
      <c r="AF22" s="206">
        <f t="shared" ca="1" si="19"/>
        <v>51.290999999999997</v>
      </c>
      <c r="AG22" s="206">
        <f t="shared" ca="1" si="20"/>
        <v>52.164000000000001</v>
      </c>
      <c r="AH22" s="206">
        <f t="shared" ca="1" si="23"/>
        <v>53.034999999999997</v>
      </c>
      <c r="AI22" s="206">
        <f t="shared" ca="1" si="24"/>
        <v>56.271000000000001</v>
      </c>
      <c r="AJ22" s="206"/>
      <c r="AL22" s="42">
        <f>VLOOKUP($AB22,[2]Sheet3!$A$1:$J$403,AL$7,0)</f>
        <v>50.436999999999998</v>
      </c>
      <c r="AM22" s="42">
        <f>VLOOKUP($AB22,[2]Sheet3!$A$1:$J$403,AM$7,0)</f>
        <v>51.290999999999997</v>
      </c>
      <c r="AN22" s="42">
        <f>VLOOKUP($AB22,[2]Sheet3!$A$1:$J$403,AN$7,0)</f>
        <v>52.164000000000001</v>
      </c>
    </row>
    <row r="23" spans="1:40" ht="18.75" customHeight="1">
      <c r="A23"/>
      <c r="B23"/>
      <c r="C23"/>
      <c r="D23"/>
      <c r="E23"/>
      <c r="F23"/>
      <c r="G23"/>
      <c r="H23"/>
      <c r="I23"/>
      <c r="J23"/>
      <c r="K23"/>
      <c r="L23"/>
      <c r="M23" s="47"/>
      <c r="N23" s="42"/>
      <c r="O23" s="235">
        <v>109.2</v>
      </c>
      <c r="P23" s="237" t="s">
        <v>284</v>
      </c>
      <c r="Q23" s="237" t="s">
        <v>235</v>
      </c>
      <c r="R23" s="237" t="s">
        <v>287</v>
      </c>
      <c r="S23" s="237" t="s">
        <v>280</v>
      </c>
      <c r="T23" s="235" t="s">
        <v>281</v>
      </c>
      <c r="U23" s="238" cm="1">
        <f t="array" aca="1" ref="U23" ca="1">IF($R23="Y",VLOOKUP($S23,INDIRECT($P$2),U$3,0)*INDIRECT($Q$2),VLOOKUP($S23,INDIRECT($P$2),U$3,0))</f>
        <v>25.693128931249998</v>
      </c>
      <c r="V23" s="238" cm="1">
        <f t="array" aca="1" ref="V23" ca="1">IF($R23="Y",VLOOKUP($S23,INDIRECT($P$2),V$3,0)*INDIRECT($Q$2),VLOOKUP($S23,INDIRECT($P$2),V$3,0))</f>
        <v>26.720766256249995</v>
      </c>
      <c r="W23" s="238" cm="1">
        <f t="array" aca="1" ref="W23" ca="1">IF($R23="Y",VLOOKUP($S23,INDIRECT($P$2),W$3,0)*INDIRECT($Q$2),VLOOKUP($S23,INDIRECT($P$2),W$3,0))</f>
        <v>27.790123899999994</v>
      </c>
      <c r="X23" s="238" cm="1">
        <f t="array" aca="1" ref="X23" ca="1">IF($R23="Y",VLOOKUP($S23,INDIRECT($P$2),X$3,0)*INDIRECT($Q$2),VLOOKUP($S23,INDIRECT($P$2),X$3,0))</f>
        <v>28.901201862499995</v>
      </c>
      <c r="Y23" s="238" cm="1">
        <f t="array" aca="1" ref="Y23" ca="1">IF($R23="Y",VLOOKUP($S23,INDIRECT($P$2),Y$3,0)*INDIRECT($Q$2),VLOOKUP($S23,INDIRECT($P$2),Y$3,0))</f>
        <v>30.057293853124996</v>
      </c>
      <c r="Z23" s="238" cm="1">
        <f t="array" aca="1" ref="Z23" ca="1">IF($R23="Y",VLOOKUP($S23,INDIRECT($P$2),Z$3,0)*INDIRECT($Q$2),VLOOKUP($S23,INDIRECT($P$2),Z$3,0))</f>
        <v>31.259497774999993</v>
      </c>
      <c r="AA23" s="42" t="s">
        <v>283</v>
      </c>
      <c r="AB23" s="165" t="str">
        <f t="shared" si="12"/>
        <v>04452C</v>
      </c>
      <c r="AC23" s="165" t="str">
        <f>Q23</f>
        <v>CFH 1</v>
      </c>
      <c r="AD23" s="165" t="str">
        <f t="shared" si="13"/>
        <v>Firerighter Bell Curve-C</v>
      </c>
      <c r="AE23" s="206">
        <f t="shared" ca="1" si="18"/>
        <v>25.693000000000001</v>
      </c>
      <c r="AF23" s="206">
        <f t="shared" ca="1" si="19"/>
        <v>26.721</v>
      </c>
      <c r="AG23" s="206">
        <f t="shared" ca="1" si="20"/>
        <v>27.79</v>
      </c>
      <c r="AH23" s="206">
        <f t="shared" ca="1" si="23"/>
        <v>28.901</v>
      </c>
      <c r="AI23" s="206">
        <f t="shared" ca="1" si="24"/>
        <v>30.056999999999999</v>
      </c>
      <c r="AJ23" s="206">
        <f t="shared" ref="AJ23" ca="1" si="25">ROUND(Z23,3)</f>
        <v>31.259</v>
      </c>
    </row>
    <row r="24" spans="1:40" ht="27.75" customHeight="1">
      <c r="A24" s="41" t="s">
        <v>303</v>
      </c>
      <c r="C24" s="46"/>
      <c r="G24" s="46"/>
      <c r="H24" s="46"/>
      <c r="I24" s="46"/>
      <c r="J24" s="46"/>
      <c r="K24" s="46"/>
      <c r="L24" s="46"/>
      <c r="M24" s="46"/>
      <c r="AD24" s="205" t="s">
        <v>299</v>
      </c>
    </row>
    <row r="25" spans="1:40" ht="17.25" customHeight="1">
      <c r="A25" s="50" t="s">
        <v>50</v>
      </c>
      <c r="C25" s="46"/>
      <c r="G25" s="46"/>
      <c r="H25" s="46"/>
      <c r="I25" s="46"/>
      <c r="J25" s="46"/>
      <c r="K25" s="46"/>
      <c r="L25" s="46"/>
      <c r="M25" s="46"/>
    </row>
    <row r="26" spans="1:40" ht="17.25" customHeight="1">
      <c r="A26" s="42" t="s">
        <v>51</v>
      </c>
      <c r="C26" s="46"/>
      <c r="G26" s="46"/>
      <c r="H26" s="46"/>
      <c r="I26" s="46"/>
      <c r="J26" s="46"/>
      <c r="K26" s="46"/>
      <c r="L26" s="46"/>
      <c r="M26" s="46"/>
    </row>
    <row r="27" spans="1:40" ht="17.25" customHeight="1">
      <c r="A27" s="50" t="s">
        <v>52</v>
      </c>
      <c r="B27" s="46"/>
      <c r="C27" s="46"/>
    </row>
    <row r="28" spans="1:40" ht="17.25" customHeight="1">
      <c r="A28" s="50"/>
      <c r="B28" s="46"/>
      <c r="C28" s="46"/>
      <c r="P28" s="228"/>
      <c r="Q28" s="228"/>
      <c r="R28" s="228"/>
      <c r="S28" s="240"/>
      <c r="U28" s="302" t="s">
        <v>278</v>
      </c>
      <c r="V28" s="303"/>
      <c r="W28" s="228"/>
    </row>
    <row r="29" spans="1:40" ht="27.75" customHeight="1">
      <c r="A29" s="41" t="s">
        <v>136</v>
      </c>
      <c r="B29" s="42" t="s">
        <v>160</v>
      </c>
      <c r="P29" s="228"/>
      <c r="Q29" s="228"/>
      <c r="R29" s="228"/>
      <c r="S29" s="240"/>
      <c r="U29" s="234" t="s">
        <v>230</v>
      </c>
      <c r="V29" s="234" t="s">
        <v>231</v>
      </c>
      <c r="W29" s="228"/>
      <c r="AB29" s="207">
        <f t="shared" ref="AB29:AB70" si="26">S29</f>
        <v>0</v>
      </c>
      <c r="AC29" s="165"/>
      <c r="AD29" s="165"/>
      <c r="AE29" s="208" t="str">
        <f>U29</f>
        <v>CFF/109.2</v>
      </c>
      <c r="AF29" s="208" t="str">
        <f>V29</f>
        <v>CFG/80</v>
      </c>
    </row>
    <row r="30" spans="1:40" ht="17.25" customHeight="1">
      <c r="A30" s="56">
        <f t="shared" ref="A30:A48" ca="1" si="27">T30</f>
        <v>18.999209241152155</v>
      </c>
      <c r="B30" s="52" t="s">
        <v>161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40"/>
      <c r="P30" s="228"/>
      <c r="Q30" s="228"/>
      <c r="R30" s="237" t="s">
        <v>287</v>
      </c>
      <c r="S30" s="270" t="str">
        <f t="shared" ref="S30:S48" si="28">"Non FF "&amp;B30</f>
        <v>Non FF  7th year of service</v>
      </c>
      <c r="T30" s="266" cm="1">
        <f t="array" aca="1" ref="T30" ca="1">IF($R30="Y",VLOOKUP(S30,INDIRECT($P$2),2,0)*INDIRECT($Q$2),VLOOKUP(S30,INDIRECT($P$2),2,0))</f>
        <v>18.999209241152155</v>
      </c>
      <c r="U30" s="238">
        <f ca="1">T30/109.2</f>
        <v>0.17398543261128346</v>
      </c>
      <c r="V30" s="238">
        <f ca="1">T30/80</f>
        <v>0.23749011551440194</v>
      </c>
      <c r="W30" s="242"/>
      <c r="AB30" s="165" t="str">
        <f t="shared" si="26"/>
        <v>Non FF  7th year of service</v>
      </c>
      <c r="AC30" s="165"/>
      <c r="AD30" s="165"/>
      <c r="AE30" s="206">
        <f t="shared" ref="AE30:AF45" ca="1" si="29">ROUND(U30,3)</f>
        <v>0.17399999999999999</v>
      </c>
      <c r="AF30" s="206">
        <f t="shared" ca="1" si="29"/>
        <v>0.23699999999999999</v>
      </c>
    </row>
    <row r="31" spans="1:40" ht="17.25" customHeight="1">
      <c r="A31" s="56">
        <f t="shared" ca="1" si="27"/>
        <v>26.946590884509845</v>
      </c>
      <c r="B31" s="52" t="s">
        <v>162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40"/>
      <c r="P31" s="228"/>
      <c r="Q31" s="228"/>
      <c r="R31" s="237" t="s">
        <v>287</v>
      </c>
      <c r="S31" s="270" t="str">
        <f t="shared" si="28"/>
        <v>Non FF  8th year of service</v>
      </c>
      <c r="T31" s="266" cm="1">
        <f t="array" aca="1" ref="T31" ca="1">IF($R31="Y",VLOOKUP(S31,INDIRECT($P$2),2,0)*INDIRECT($Q$2),VLOOKUP(S31,INDIRECT($P$2),2,0))</f>
        <v>26.946590884509845</v>
      </c>
      <c r="U31" s="238">
        <f t="shared" ref="U31:U48" ca="1" si="30">T31/109.2</f>
        <v>0.2467636527885517</v>
      </c>
      <c r="V31" s="238">
        <f t="shared" ref="V31:V48" ca="1" si="31">T31/80</f>
        <v>0.33683238605637306</v>
      </c>
      <c r="W31" s="242"/>
      <c r="Y31" s="243"/>
      <c r="AB31" s="165" t="str">
        <f t="shared" si="26"/>
        <v>Non FF  8th year of service</v>
      </c>
      <c r="AC31" s="165"/>
      <c r="AD31" s="165"/>
      <c r="AE31" s="206">
        <f t="shared" ca="1" si="29"/>
        <v>0.247</v>
      </c>
      <c r="AF31" s="206">
        <f t="shared" ca="1" si="29"/>
        <v>0.33700000000000002</v>
      </c>
    </row>
    <row r="32" spans="1:40" ht="17.25" customHeight="1">
      <c r="A32" s="56">
        <f t="shared" ca="1" si="27"/>
        <v>34.893972527867646</v>
      </c>
      <c r="B32" s="52" t="s">
        <v>163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40"/>
      <c r="P32" s="228"/>
      <c r="Q32" s="228"/>
      <c r="R32" s="237" t="s">
        <v>287</v>
      </c>
      <c r="S32" s="270" t="str">
        <f t="shared" si="28"/>
        <v>Non FF  9th year of service</v>
      </c>
      <c r="T32" s="266" cm="1">
        <f t="array" aca="1" ref="T32" ca="1">IF($R32="Y",VLOOKUP(S32,INDIRECT($P$2),2,0)*INDIRECT($Q$2),VLOOKUP(S32,INDIRECT($P$2),2,0))</f>
        <v>34.893972527867646</v>
      </c>
      <c r="U32" s="238">
        <f t="shared" ca="1" si="30"/>
        <v>0.31954187296582093</v>
      </c>
      <c r="V32" s="238">
        <f t="shared" ca="1" si="31"/>
        <v>0.43617465659834559</v>
      </c>
      <c r="W32" s="242"/>
      <c r="Y32" s="243"/>
      <c r="AB32" s="165" t="str">
        <f t="shared" si="26"/>
        <v>Non FF  9th year of service</v>
      </c>
      <c r="AC32" s="165"/>
      <c r="AD32" s="165"/>
      <c r="AE32" s="206">
        <f t="shared" ca="1" si="29"/>
        <v>0.32</v>
      </c>
      <c r="AF32" s="206">
        <f t="shared" ca="1" si="29"/>
        <v>0.436</v>
      </c>
    </row>
    <row r="33" spans="1:32" ht="17.25" customHeight="1">
      <c r="A33" s="56">
        <f t="shared" ca="1" si="27"/>
        <v>42.841354171225454</v>
      </c>
      <c r="B33" s="52" t="s">
        <v>164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40"/>
      <c r="P33" s="228"/>
      <c r="Q33" s="228"/>
      <c r="R33" s="237" t="s">
        <v>287</v>
      </c>
      <c r="S33" s="270" t="str">
        <f t="shared" si="28"/>
        <v>Non FF  10th year of service</v>
      </c>
      <c r="T33" s="266" cm="1">
        <f t="array" aca="1" ref="T33" ca="1">IF($R33="Y",VLOOKUP(S33,INDIRECT($P$2),2,0)*INDIRECT($Q$2),VLOOKUP(S33,INDIRECT($P$2),2,0))</f>
        <v>42.841354171225454</v>
      </c>
      <c r="U33" s="238">
        <f t="shared" ca="1" si="30"/>
        <v>0.39232009314309024</v>
      </c>
      <c r="V33" s="238">
        <f t="shared" ca="1" si="31"/>
        <v>0.53551692714031818</v>
      </c>
      <c r="W33" s="242"/>
      <c r="Y33" s="243"/>
      <c r="AB33" s="165" t="str">
        <f t="shared" si="26"/>
        <v>Non FF  10th year of service</v>
      </c>
      <c r="AC33" s="165"/>
      <c r="AD33" s="165"/>
      <c r="AE33" s="206">
        <f t="shared" ca="1" si="29"/>
        <v>0.39200000000000002</v>
      </c>
      <c r="AF33" s="206">
        <f t="shared" ca="1" si="29"/>
        <v>0.53600000000000003</v>
      </c>
    </row>
    <row r="34" spans="1:32" ht="17.25" customHeight="1">
      <c r="A34" s="56">
        <f t="shared" ca="1" si="27"/>
        <v>50.788735814583156</v>
      </c>
      <c r="B34" s="52" t="s">
        <v>165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40"/>
      <c r="P34" s="228"/>
      <c r="Q34" s="228"/>
      <c r="R34" s="237" t="s">
        <v>287</v>
      </c>
      <c r="S34" s="270" t="str">
        <f t="shared" si="28"/>
        <v>Non FF  11th year of service</v>
      </c>
      <c r="T34" s="266" cm="1">
        <f t="array" aca="1" ref="T34" ca="1">IF($R34="Y",VLOOKUP(S34,INDIRECT($P$2),2,0)*INDIRECT($Q$2),VLOOKUP(S34,INDIRECT($P$2),2,0))</f>
        <v>50.788735814583156</v>
      </c>
      <c r="U34" s="238">
        <f t="shared" ca="1" si="30"/>
        <v>0.46509831332035856</v>
      </c>
      <c r="V34" s="238">
        <f t="shared" ca="1" si="31"/>
        <v>0.63485919768228949</v>
      </c>
      <c r="W34" s="242"/>
      <c r="Y34" s="243"/>
      <c r="AB34" s="165" t="str">
        <f t="shared" si="26"/>
        <v>Non FF  11th year of service</v>
      </c>
      <c r="AC34" s="165"/>
      <c r="AD34" s="165"/>
      <c r="AE34" s="206">
        <f t="shared" ca="1" si="29"/>
        <v>0.46500000000000002</v>
      </c>
      <c r="AF34" s="206">
        <f t="shared" ca="1" si="29"/>
        <v>0.63500000000000001</v>
      </c>
    </row>
    <row r="35" spans="1:32" ht="17.25" customHeight="1">
      <c r="A35" s="56">
        <f t="shared" ca="1" si="27"/>
        <v>153.49933021711925</v>
      </c>
      <c r="B35" s="52" t="s">
        <v>166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40"/>
      <c r="P35" s="228"/>
      <c r="Q35" s="228"/>
      <c r="R35" s="237" t="s">
        <v>287</v>
      </c>
      <c r="S35" s="270" t="str">
        <f t="shared" si="28"/>
        <v>Non FF  12th year of service</v>
      </c>
      <c r="T35" s="266" cm="1">
        <f t="array" aca="1" ref="T35" ca="1">IF($R35="Y",VLOOKUP(S35,INDIRECT($P$2),2,0)*INDIRECT($Q$2),VLOOKUP(S35,INDIRECT($P$2),2,0))</f>
        <v>153.49933021711925</v>
      </c>
      <c r="U35" s="238">
        <f t="shared" ca="1" si="30"/>
        <v>1.4056715221347917</v>
      </c>
      <c r="V35" s="238">
        <f t="shared" ca="1" si="31"/>
        <v>1.9187416277139906</v>
      </c>
      <c r="W35" s="242"/>
      <c r="Y35" s="243"/>
      <c r="AB35" s="165" t="str">
        <f t="shared" si="26"/>
        <v>Non FF  12th year of service</v>
      </c>
      <c r="AC35" s="165"/>
      <c r="AD35" s="165"/>
      <c r="AE35" s="206">
        <f t="shared" ca="1" si="29"/>
        <v>1.4059999999999999</v>
      </c>
      <c r="AF35" s="206">
        <f t="shared" ca="1" si="29"/>
        <v>1.919</v>
      </c>
    </row>
    <row r="36" spans="1:32" ht="17.25" customHeight="1">
      <c r="A36" s="56">
        <f t="shared" ca="1" si="27"/>
        <v>162.12968997045289</v>
      </c>
      <c r="B36" s="52" t="s">
        <v>167</v>
      </c>
      <c r="P36" s="228"/>
      <c r="Q36" s="228"/>
      <c r="R36" s="237" t="s">
        <v>287</v>
      </c>
      <c r="S36" s="270" t="str">
        <f t="shared" si="28"/>
        <v>Non FF  13th year of service</v>
      </c>
      <c r="T36" s="266" cm="1">
        <f t="array" aca="1" ref="T36" ca="1">IF($R36="Y",VLOOKUP(S36,INDIRECT($P$2),2,0)*INDIRECT($Q$2),VLOOKUP(S36,INDIRECT($P$2),2,0))</f>
        <v>162.12968997045289</v>
      </c>
      <c r="U36" s="238">
        <f t="shared" ca="1" si="30"/>
        <v>1.484704120608543</v>
      </c>
      <c r="V36" s="238">
        <f t="shared" ca="1" si="31"/>
        <v>2.0266211246306609</v>
      </c>
      <c r="W36" s="242"/>
      <c r="Y36" s="243"/>
      <c r="AB36" s="165" t="str">
        <f t="shared" si="26"/>
        <v>Non FF  13th year of service</v>
      </c>
      <c r="AC36" s="165"/>
      <c r="AD36" s="165"/>
      <c r="AE36" s="206">
        <f t="shared" ca="1" si="29"/>
        <v>1.4850000000000001</v>
      </c>
      <c r="AF36" s="206">
        <f t="shared" ca="1" si="29"/>
        <v>2.0270000000000001</v>
      </c>
    </row>
    <row r="37" spans="1:32" ht="17.25" customHeight="1">
      <c r="A37" s="56">
        <f t="shared" ca="1" si="27"/>
        <v>170.74452749401416</v>
      </c>
      <c r="B37" s="52" t="s">
        <v>168</v>
      </c>
      <c r="P37" s="228"/>
      <c r="Q37" s="228"/>
      <c r="R37" s="237" t="s">
        <v>287</v>
      </c>
      <c r="S37" s="270" t="str">
        <f t="shared" si="28"/>
        <v>Non FF  14th year of service</v>
      </c>
      <c r="T37" s="266" cm="1">
        <f t="array" aca="1" ref="T37" ca="1">IF($R37="Y",VLOOKUP(S37,INDIRECT($P$2),2,0)*INDIRECT($Q$2),VLOOKUP(S37,INDIRECT($P$2),2,0))</f>
        <v>170.74452749401416</v>
      </c>
      <c r="U37" s="238">
        <f t="shared" ca="1" si="30"/>
        <v>1.5635945741210089</v>
      </c>
      <c r="V37" s="238">
        <f t="shared" ca="1" si="31"/>
        <v>2.1343065936751771</v>
      </c>
      <c r="W37" s="242"/>
      <c r="Y37" s="243"/>
      <c r="AB37" s="165" t="str">
        <f t="shared" si="26"/>
        <v>Non FF  14th year of service</v>
      </c>
      <c r="AC37" s="165"/>
      <c r="AD37" s="165"/>
      <c r="AE37" s="206">
        <f t="shared" ca="1" si="29"/>
        <v>1.5640000000000001</v>
      </c>
      <c r="AF37" s="206">
        <f t="shared" ca="1" si="29"/>
        <v>2.1339999999999999</v>
      </c>
    </row>
    <row r="38" spans="1:32" ht="17.25" customHeight="1">
      <c r="A38" s="56">
        <f t="shared" ca="1" si="27"/>
        <v>223.33384196217062</v>
      </c>
      <c r="B38" s="52" t="s">
        <v>169</v>
      </c>
      <c r="P38" s="228"/>
      <c r="Q38" s="228"/>
      <c r="R38" s="237" t="s">
        <v>287</v>
      </c>
      <c r="S38" s="270" t="str">
        <f t="shared" si="28"/>
        <v>Non FF  15th year of service</v>
      </c>
      <c r="T38" s="266" cm="1">
        <f t="array" aca="1" ref="T38" ca="1">IF($R38="Y",VLOOKUP(S38,INDIRECT($P$2),2,0)*INDIRECT($Q$2),VLOOKUP(S38,INDIRECT($P$2),2,0))</f>
        <v>223.33384196217062</v>
      </c>
      <c r="U38" s="238">
        <f t="shared" ca="1" si="30"/>
        <v>2.0451817029502806</v>
      </c>
      <c r="V38" s="238">
        <f t="shared" ca="1" si="31"/>
        <v>2.7916730245271326</v>
      </c>
      <c r="W38" s="242"/>
      <c r="Y38" s="243"/>
      <c r="AB38" s="165" t="str">
        <f t="shared" si="26"/>
        <v>Non FF  15th year of service</v>
      </c>
      <c r="AC38" s="165"/>
      <c r="AD38" s="165"/>
      <c r="AE38" s="206">
        <f t="shared" ca="1" si="29"/>
        <v>2.0449999999999999</v>
      </c>
      <c r="AF38" s="206">
        <f t="shared" ca="1" si="29"/>
        <v>2.7919999999999998</v>
      </c>
    </row>
    <row r="39" spans="1:32" ht="17.25" customHeight="1">
      <c r="A39" s="56">
        <f t="shared" ca="1" si="27"/>
        <v>231.94867948573193</v>
      </c>
      <c r="B39" s="52" t="s">
        <v>170</v>
      </c>
      <c r="P39" s="228"/>
      <c r="Q39" s="228"/>
      <c r="R39" s="237" t="s">
        <v>287</v>
      </c>
      <c r="S39" s="270" t="str">
        <f t="shared" si="28"/>
        <v>Non FF  16th year of service</v>
      </c>
      <c r="T39" s="266" cm="1">
        <f t="array" aca="1" ref="T39" ca="1">IF($R39="Y",VLOOKUP(S39,INDIRECT($P$2),2,0)*INDIRECT($Q$2),VLOOKUP(S39,INDIRECT($P$2),2,0))</f>
        <v>231.94867948573193</v>
      </c>
      <c r="U39" s="238">
        <f t="shared" ca="1" si="30"/>
        <v>2.1240721564627467</v>
      </c>
      <c r="V39" s="238">
        <f t="shared" ca="1" si="31"/>
        <v>2.8993584935716492</v>
      </c>
      <c r="W39" s="242"/>
      <c r="Y39" s="243"/>
      <c r="AB39" s="165" t="str">
        <f t="shared" si="26"/>
        <v>Non FF  16th year of service</v>
      </c>
      <c r="AC39" s="165"/>
      <c r="AD39" s="165"/>
      <c r="AE39" s="206">
        <f t="shared" ca="1" si="29"/>
        <v>2.1240000000000001</v>
      </c>
      <c r="AF39" s="206">
        <f t="shared" ca="1" si="29"/>
        <v>2.899</v>
      </c>
    </row>
    <row r="40" spans="1:32" ht="17.25" customHeight="1">
      <c r="A40" s="56">
        <f t="shared" ca="1" si="27"/>
        <v>240.57903923906562</v>
      </c>
      <c r="B40" s="52" t="s">
        <v>171</v>
      </c>
      <c r="P40" s="228"/>
      <c r="Q40" s="228"/>
      <c r="R40" s="237" t="s">
        <v>287</v>
      </c>
      <c r="S40" s="270" t="str">
        <f t="shared" si="28"/>
        <v>Non FF  17th year of service</v>
      </c>
      <c r="T40" s="266" cm="1">
        <f t="array" aca="1" ref="T40" ca="1">IF($R40="Y",VLOOKUP(S40,INDIRECT($P$2),2,0)*INDIRECT($Q$2),VLOOKUP(S40,INDIRECT($P$2),2,0))</f>
        <v>240.57903923906562</v>
      </c>
      <c r="U40" s="238">
        <f t="shared" ca="1" si="30"/>
        <v>2.2031047549364984</v>
      </c>
      <c r="V40" s="238">
        <f t="shared" ca="1" si="31"/>
        <v>3.0072379904883202</v>
      </c>
      <c r="W40" s="242"/>
      <c r="Y40" s="243"/>
      <c r="AB40" s="165" t="str">
        <f t="shared" si="26"/>
        <v>Non FF  17th year of service</v>
      </c>
      <c r="AC40" s="165"/>
      <c r="AD40" s="165"/>
      <c r="AE40" s="206">
        <f t="shared" ca="1" si="29"/>
        <v>2.2029999999999998</v>
      </c>
      <c r="AF40" s="206">
        <f t="shared" ca="1" si="29"/>
        <v>3.0070000000000001</v>
      </c>
    </row>
    <row r="41" spans="1:32" ht="17.25" customHeight="1">
      <c r="A41" s="56">
        <f t="shared" ca="1" si="27"/>
        <v>249.20939899240048</v>
      </c>
      <c r="B41" s="52" t="s">
        <v>172</v>
      </c>
      <c r="P41" s="228"/>
      <c r="Q41" s="228"/>
      <c r="R41" s="237" t="s">
        <v>287</v>
      </c>
      <c r="S41" s="270" t="str">
        <f t="shared" si="28"/>
        <v>Non FF  18th year of service</v>
      </c>
      <c r="T41" s="266" cm="1">
        <f t="array" aca="1" ref="T41" ca="1">IF($R41="Y",VLOOKUP(S41,INDIRECT($P$2),2,0)*INDIRECT($Q$2),VLOOKUP(S41,INDIRECT($P$2),2,0))</f>
        <v>249.20939899240048</v>
      </c>
      <c r="U41" s="238">
        <f t="shared" ca="1" si="30"/>
        <v>2.2821373534102607</v>
      </c>
      <c r="V41" s="238">
        <f t="shared" ca="1" si="31"/>
        <v>3.1151174874050058</v>
      </c>
      <c r="W41" s="242"/>
      <c r="Y41" s="243"/>
      <c r="AB41" s="165" t="str">
        <f t="shared" si="26"/>
        <v>Non FF  18th year of service</v>
      </c>
      <c r="AC41" s="165"/>
      <c r="AD41" s="165"/>
      <c r="AE41" s="206">
        <f t="shared" ca="1" si="29"/>
        <v>2.282</v>
      </c>
      <c r="AF41" s="206">
        <f t="shared" ca="1" si="29"/>
        <v>3.1150000000000002</v>
      </c>
    </row>
    <row r="42" spans="1:32" ht="17.25" customHeight="1">
      <c r="A42" s="56">
        <f t="shared" ca="1" si="27"/>
        <v>273.67243311336051</v>
      </c>
      <c r="B42" s="52" t="s">
        <v>173</v>
      </c>
      <c r="P42" s="228"/>
      <c r="Q42" s="228"/>
      <c r="R42" s="237" t="s">
        <v>287</v>
      </c>
      <c r="S42" s="270" t="str">
        <f t="shared" si="28"/>
        <v>Non FF  19th year of service</v>
      </c>
      <c r="T42" s="266" cm="1">
        <f t="array" aca="1" ref="T42" ca="1">IF($R42="Y",VLOOKUP(S42,INDIRECT($P$2),2,0)*INDIRECT($Q$2),VLOOKUP(S42,INDIRECT($P$2),2,0))</f>
        <v>273.67243311336051</v>
      </c>
      <c r="U42" s="238">
        <f t="shared" ca="1" si="30"/>
        <v>2.5061578123934112</v>
      </c>
      <c r="V42" s="238">
        <f t="shared" ca="1" si="31"/>
        <v>3.4209054139170063</v>
      </c>
      <c r="W42" s="242"/>
      <c r="Y42" s="243"/>
      <c r="AB42" s="165" t="str">
        <f t="shared" si="26"/>
        <v>Non FF  19th year of service</v>
      </c>
      <c r="AC42" s="165"/>
      <c r="AD42" s="165"/>
      <c r="AE42" s="206">
        <f t="shared" ca="1" si="29"/>
        <v>2.5059999999999998</v>
      </c>
      <c r="AF42" s="206">
        <f t="shared" ca="1" si="29"/>
        <v>3.4209999999999998</v>
      </c>
    </row>
    <row r="43" spans="1:32" ht="17.25" customHeight="1">
      <c r="A43" s="56">
        <f t="shared" ca="1" si="27"/>
        <v>343.83291168362797</v>
      </c>
      <c r="B43" s="52" t="s">
        <v>174</v>
      </c>
      <c r="P43" s="228"/>
      <c r="Q43" s="228"/>
      <c r="R43" s="237" t="s">
        <v>287</v>
      </c>
      <c r="S43" s="270" t="str">
        <f t="shared" si="28"/>
        <v>Non FF  20th year of service</v>
      </c>
      <c r="T43" s="266" cm="1">
        <f t="array" aca="1" ref="T43" ca="1">IF($R43="Y",VLOOKUP(S43,INDIRECT($P$2),2,0)*INDIRECT($Q$2),VLOOKUP(S43,INDIRECT($P$2),2,0))</f>
        <v>343.83291168362797</v>
      </c>
      <c r="U43" s="238">
        <f t="shared" ca="1" si="30"/>
        <v>3.1486530373958606</v>
      </c>
      <c r="V43" s="238">
        <f t="shared" ca="1" si="31"/>
        <v>4.2979113960453494</v>
      </c>
      <c r="W43" s="242"/>
      <c r="Y43" s="243"/>
      <c r="AB43" s="165" t="str">
        <f t="shared" si="26"/>
        <v>Non FF  20th year of service</v>
      </c>
      <c r="AC43" s="165"/>
      <c r="AD43" s="165"/>
      <c r="AE43" s="206">
        <f t="shared" ca="1" si="29"/>
        <v>3.149</v>
      </c>
      <c r="AF43" s="206">
        <f t="shared" ca="1" si="29"/>
        <v>4.298</v>
      </c>
    </row>
    <row r="44" spans="1:32" ht="17.25" customHeight="1">
      <c r="A44" s="56">
        <f t="shared" ca="1" si="27"/>
        <v>352.46327143696169</v>
      </c>
      <c r="B44" s="52" t="s">
        <v>175</v>
      </c>
      <c r="P44" s="228"/>
      <c r="Q44" s="228"/>
      <c r="R44" s="237" t="s">
        <v>287</v>
      </c>
      <c r="S44" s="270" t="str">
        <f t="shared" si="28"/>
        <v>Non FF  21st year of service</v>
      </c>
      <c r="T44" s="266" cm="1">
        <f t="array" aca="1" ref="T44" ca="1">IF($R44="Y",VLOOKUP(S44,INDIRECT($P$2),2,0)*INDIRECT($Q$2),VLOOKUP(S44,INDIRECT($P$2),2,0))</f>
        <v>352.46327143696169</v>
      </c>
      <c r="U44" s="238">
        <f t="shared" ca="1" si="30"/>
        <v>3.2276856358696127</v>
      </c>
      <c r="V44" s="238">
        <f t="shared" ca="1" si="31"/>
        <v>4.4057908929620213</v>
      </c>
      <c r="W44" s="242"/>
      <c r="Y44" s="243"/>
      <c r="AB44" s="165" t="str">
        <f t="shared" si="26"/>
        <v>Non FF  21st year of service</v>
      </c>
      <c r="AC44" s="165"/>
      <c r="AD44" s="165"/>
      <c r="AE44" s="206">
        <f t="shared" ca="1" si="29"/>
        <v>3.2280000000000002</v>
      </c>
      <c r="AF44" s="206">
        <f t="shared" ca="1" si="29"/>
        <v>4.4059999999999997</v>
      </c>
    </row>
    <row r="45" spans="1:32" ht="17.25" customHeight="1">
      <c r="A45" s="56">
        <f t="shared" ca="1" si="27"/>
        <v>361.09363119029535</v>
      </c>
      <c r="B45" s="52" t="s">
        <v>176</v>
      </c>
      <c r="P45" s="228"/>
      <c r="Q45" s="228"/>
      <c r="R45" s="237" t="s">
        <v>287</v>
      </c>
      <c r="S45" s="270" t="str">
        <f t="shared" si="28"/>
        <v>Non FF  22nd year of service</v>
      </c>
      <c r="T45" s="266" cm="1">
        <f t="array" aca="1" ref="T45" ca="1">IF($R45="Y",VLOOKUP(S45,INDIRECT($P$2),2,0)*INDIRECT($Q$2),VLOOKUP(S45,INDIRECT($P$2),2,0))</f>
        <v>361.09363119029535</v>
      </c>
      <c r="U45" s="238">
        <f t="shared" ca="1" si="30"/>
        <v>3.3067182343433639</v>
      </c>
      <c r="V45" s="238">
        <f t="shared" ca="1" si="31"/>
        <v>4.5136703898786923</v>
      </c>
      <c r="W45" s="242"/>
      <c r="Y45" s="243"/>
      <c r="AB45" s="165" t="str">
        <f t="shared" si="26"/>
        <v>Non FF  22nd year of service</v>
      </c>
      <c r="AC45" s="165"/>
      <c r="AD45" s="165"/>
      <c r="AE45" s="206">
        <f t="shared" ca="1" si="29"/>
        <v>3.3069999999999999</v>
      </c>
      <c r="AF45" s="206">
        <f t="shared" ca="1" si="29"/>
        <v>4.5140000000000002</v>
      </c>
    </row>
    <row r="46" spans="1:32" ht="17.25" customHeight="1">
      <c r="A46" s="56">
        <f t="shared" ca="1" si="27"/>
        <v>369.72399094363016</v>
      </c>
      <c r="B46" s="52" t="s">
        <v>177</v>
      </c>
      <c r="P46" s="228"/>
      <c r="Q46" s="228"/>
      <c r="R46" s="237" t="s">
        <v>287</v>
      </c>
      <c r="S46" s="270" t="str">
        <f t="shared" si="28"/>
        <v>Non FF  23rd year of service</v>
      </c>
      <c r="T46" s="266" cm="1">
        <f t="array" aca="1" ref="T46" ca="1">IF($R46="Y",VLOOKUP(S46,INDIRECT($P$2),2,0)*INDIRECT($Q$2),VLOOKUP(S46,INDIRECT($P$2),2,0))</f>
        <v>369.72399094363016</v>
      </c>
      <c r="U46" s="238">
        <f t="shared" ca="1" si="30"/>
        <v>3.3857508328171257</v>
      </c>
      <c r="V46" s="238">
        <f t="shared" ca="1" si="31"/>
        <v>4.6215498867953766</v>
      </c>
      <c r="W46" s="242"/>
      <c r="Y46" s="243"/>
      <c r="AB46" s="165" t="str">
        <f t="shared" si="26"/>
        <v>Non FF  23rd year of service</v>
      </c>
      <c r="AC46" s="165"/>
      <c r="AD46" s="165"/>
      <c r="AE46" s="206">
        <f t="shared" ref="AE46:AF70" ca="1" si="32">ROUND(U46,3)</f>
        <v>3.3860000000000001</v>
      </c>
      <c r="AF46" s="206">
        <f t="shared" ca="1" si="32"/>
        <v>4.6219999999999999</v>
      </c>
    </row>
    <row r="47" spans="1:32" ht="17.25" customHeight="1">
      <c r="A47" s="56">
        <f t="shared" ca="1" si="27"/>
        <v>378.35435069696376</v>
      </c>
      <c r="B47" s="52" t="s">
        <v>178</v>
      </c>
      <c r="P47" s="228"/>
      <c r="Q47" s="228"/>
      <c r="R47" s="237" t="s">
        <v>287</v>
      </c>
      <c r="S47" s="270" t="str">
        <f t="shared" si="28"/>
        <v>Non FF  24th year of service</v>
      </c>
      <c r="T47" s="266" cm="1">
        <f t="array" aca="1" ref="T47" ca="1">IF($R47="Y",VLOOKUP(S47,INDIRECT($P$2),2,0)*INDIRECT($Q$2),VLOOKUP(S47,INDIRECT($P$2),2,0))</f>
        <v>378.35435069696376</v>
      </c>
      <c r="U47" s="238">
        <f t="shared" ca="1" si="30"/>
        <v>3.464783431290877</v>
      </c>
      <c r="V47" s="238">
        <f t="shared" ca="1" si="31"/>
        <v>4.7294293837120467</v>
      </c>
      <c r="W47" s="242"/>
      <c r="Y47" s="243"/>
      <c r="AB47" s="165" t="str">
        <f t="shared" si="26"/>
        <v>Non FF  24th year of service</v>
      </c>
      <c r="AC47" s="165"/>
      <c r="AD47" s="165"/>
      <c r="AE47" s="206">
        <f t="shared" ca="1" si="32"/>
        <v>3.4649999999999999</v>
      </c>
      <c r="AF47" s="206">
        <f t="shared" ca="1" si="32"/>
        <v>4.7290000000000001</v>
      </c>
    </row>
    <row r="48" spans="1:32" ht="17.25" customHeight="1">
      <c r="A48" s="56">
        <f t="shared" ca="1" si="27"/>
        <v>413.34145660346456</v>
      </c>
      <c r="B48" s="52" t="s">
        <v>179</v>
      </c>
      <c r="P48" s="228"/>
      <c r="Q48" s="228"/>
      <c r="R48" s="237" t="s">
        <v>287</v>
      </c>
      <c r="S48" s="270" t="str">
        <f t="shared" si="28"/>
        <v>Non FF  25th year of service</v>
      </c>
      <c r="T48" s="266" cm="1">
        <f t="array" aca="1" ref="T48" ca="1">IF($R48="Y",VLOOKUP(S48,INDIRECT($P$2),2,0)*INDIRECT($Q$2),VLOOKUP(S48,INDIRECT($P$2),2,0))</f>
        <v>413.34145660346456</v>
      </c>
      <c r="U48" s="238">
        <f t="shared" ca="1" si="30"/>
        <v>3.7851781740244008</v>
      </c>
      <c r="V48" s="238">
        <f t="shared" ca="1" si="31"/>
        <v>5.1667682075433072</v>
      </c>
      <c r="W48" s="242"/>
      <c r="Y48" s="243"/>
      <c r="AB48" s="165" t="str">
        <f t="shared" si="26"/>
        <v>Non FF  25th year of service</v>
      </c>
      <c r="AC48" s="165"/>
      <c r="AD48" s="165"/>
      <c r="AE48" s="206">
        <f t="shared" ca="1" si="32"/>
        <v>3.7850000000000001</v>
      </c>
      <c r="AF48" s="206">
        <f t="shared" ca="1" si="32"/>
        <v>5.1669999999999998</v>
      </c>
    </row>
    <row r="49" spans="1:32">
      <c r="A49" s="261"/>
      <c r="B49" s="52"/>
      <c r="P49" s="228"/>
      <c r="Q49" s="228"/>
      <c r="R49" s="241"/>
      <c r="U49" s="241"/>
      <c r="V49" s="228"/>
      <c r="W49" s="228"/>
      <c r="AE49" s="209"/>
      <c r="AF49" s="209"/>
    </row>
    <row r="50" spans="1:32" ht="27.75" customHeight="1">
      <c r="A50" s="262" t="s">
        <v>136</v>
      </c>
      <c r="B50" s="42" t="s">
        <v>181</v>
      </c>
      <c r="P50" s="228"/>
      <c r="Q50" s="228"/>
      <c r="R50" s="241"/>
      <c r="U50" s="234" t="s">
        <v>232</v>
      </c>
      <c r="V50" s="234" t="s">
        <v>233</v>
      </c>
      <c r="W50" s="228"/>
      <c r="AB50" s="207" t="s">
        <v>297</v>
      </c>
      <c r="AC50" s="165"/>
      <c r="AD50" s="207"/>
      <c r="AE50" s="208" t="str">
        <f>U50</f>
        <v>CFH/109.2</v>
      </c>
      <c r="AF50" s="208" t="str">
        <f>V50</f>
        <v>CFI/80</v>
      </c>
    </row>
    <row r="51" spans="1:32" ht="17.25" customHeight="1">
      <c r="A51" s="56">
        <f ca="1">T51</f>
        <v>18.999209241152155</v>
      </c>
      <c r="B51" s="52" t="s">
        <v>161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40"/>
      <c r="P51" s="228"/>
      <c r="Q51" s="228"/>
      <c r="R51" s="237" t="s">
        <v>287</v>
      </c>
      <c r="S51" s="270" t="str">
        <f t="shared" ref="S51:S70" si="33">"FF "&amp;B51</f>
        <v>FF  7th year of service</v>
      </c>
      <c r="T51" s="266" cm="1">
        <f t="array" aca="1" ref="T51" ca="1">IF($R51="Y",VLOOKUP(S51,INDIRECT($P$2),2,0)*INDIRECT($Q$2),VLOOKUP(S51,INDIRECT($P$2),2,0))</f>
        <v>18.999209241152155</v>
      </c>
      <c r="U51" s="238">
        <f t="shared" ref="U51:U70" ca="1" si="34">T51/109.2</f>
        <v>0.17398543261128346</v>
      </c>
      <c r="V51" s="238">
        <f t="shared" ref="V51:V70" ca="1" si="35">T51/80</f>
        <v>0.23749011551440194</v>
      </c>
      <c r="W51" s="242"/>
      <c r="AB51" s="165" t="str">
        <f t="shared" si="26"/>
        <v>FF  7th year of service</v>
      </c>
      <c r="AC51" s="165"/>
      <c r="AD51" s="165"/>
      <c r="AE51" s="206">
        <f t="shared" ca="1" si="32"/>
        <v>0.17399999999999999</v>
      </c>
      <c r="AF51" s="206">
        <f t="shared" ca="1" si="32"/>
        <v>0.23699999999999999</v>
      </c>
    </row>
    <row r="52" spans="1:32" ht="17.25" customHeight="1">
      <c r="A52" s="56">
        <f t="shared" ref="A52:A70" ca="1" si="36">T52</f>
        <v>26.946590884509845</v>
      </c>
      <c r="B52" s="52" t="s">
        <v>162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40"/>
      <c r="P52" s="228"/>
      <c r="Q52" s="228"/>
      <c r="R52" s="237" t="s">
        <v>287</v>
      </c>
      <c r="S52" s="270" t="str">
        <f t="shared" si="33"/>
        <v>FF  8th year of service</v>
      </c>
      <c r="T52" s="266" cm="1">
        <f t="array" aca="1" ref="T52" ca="1">IF($R52="Y",VLOOKUP(S52,INDIRECT($P$2),2,0)*INDIRECT($Q$2),VLOOKUP(S52,INDIRECT($P$2),2,0))</f>
        <v>26.946590884509845</v>
      </c>
      <c r="U52" s="238">
        <f t="shared" ca="1" si="34"/>
        <v>0.2467636527885517</v>
      </c>
      <c r="V52" s="238">
        <f t="shared" ca="1" si="35"/>
        <v>0.33683238605637306</v>
      </c>
      <c r="W52" s="242"/>
      <c r="Y52" s="243"/>
      <c r="AB52" s="165" t="str">
        <f t="shared" si="26"/>
        <v>FF  8th year of service</v>
      </c>
      <c r="AC52" s="165"/>
      <c r="AD52" s="165"/>
      <c r="AE52" s="206">
        <f t="shared" ca="1" si="32"/>
        <v>0.247</v>
      </c>
      <c r="AF52" s="206">
        <f t="shared" ca="1" si="32"/>
        <v>0.33700000000000002</v>
      </c>
    </row>
    <row r="53" spans="1:32" ht="17.25" customHeight="1">
      <c r="A53" s="56">
        <f t="shared" ca="1" si="36"/>
        <v>34.893972527867646</v>
      </c>
      <c r="B53" s="52" t="s">
        <v>163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40"/>
      <c r="P53" s="228"/>
      <c r="Q53" s="228"/>
      <c r="R53" s="237" t="s">
        <v>287</v>
      </c>
      <c r="S53" s="270" t="str">
        <f t="shared" si="33"/>
        <v>FF  9th year of service</v>
      </c>
      <c r="T53" s="266" cm="1">
        <f t="array" aca="1" ref="T53" ca="1">IF($R53="Y",VLOOKUP(S53,INDIRECT($P$2),2,0)*INDIRECT($Q$2),VLOOKUP(S53,INDIRECT($P$2),2,0))</f>
        <v>34.893972527867646</v>
      </c>
      <c r="U53" s="238">
        <f t="shared" ca="1" si="34"/>
        <v>0.31954187296582093</v>
      </c>
      <c r="V53" s="238">
        <f t="shared" ca="1" si="35"/>
        <v>0.43617465659834559</v>
      </c>
      <c r="W53" s="242"/>
      <c r="Y53" s="243"/>
      <c r="AB53" s="165" t="str">
        <f t="shared" si="26"/>
        <v>FF  9th year of service</v>
      </c>
      <c r="AC53" s="165"/>
      <c r="AD53" s="165"/>
      <c r="AE53" s="206">
        <f t="shared" ca="1" si="32"/>
        <v>0.32</v>
      </c>
      <c r="AF53" s="206">
        <f t="shared" ca="1" si="32"/>
        <v>0.436</v>
      </c>
    </row>
    <row r="54" spans="1:32" ht="17.25" customHeight="1">
      <c r="A54" s="56">
        <f t="shared" ca="1" si="36"/>
        <v>42.841354171225454</v>
      </c>
      <c r="B54" s="52" t="s">
        <v>164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40"/>
      <c r="P54" s="228"/>
      <c r="Q54" s="228"/>
      <c r="R54" s="237" t="s">
        <v>287</v>
      </c>
      <c r="S54" s="270" t="str">
        <f t="shared" si="33"/>
        <v>FF  10th year of service</v>
      </c>
      <c r="T54" s="266" cm="1">
        <f t="array" aca="1" ref="T54" ca="1">IF($R54="Y",VLOOKUP(S54,INDIRECT($P$2),2,0)*INDIRECT($Q$2),VLOOKUP(S54,INDIRECT($P$2),2,0))</f>
        <v>42.841354171225454</v>
      </c>
      <c r="U54" s="238">
        <f t="shared" ca="1" si="34"/>
        <v>0.39232009314309024</v>
      </c>
      <c r="V54" s="238">
        <f t="shared" ca="1" si="35"/>
        <v>0.53551692714031818</v>
      </c>
      <c r="W54" s="242"/>
      <c r="Y54" s="243"/>
      <c r="AB54" s="165" t="str">
        <f t="shared" si="26"/>
        <v>FF  10th year of service</v>
      </c>
      <c r="AC54" s="165"/>
      <c r="AD54" s="165"/>
      <c r="AE54" s="206">
        <f t="shared" ca="1" si="32"/>
        <v>0.39200000000000002</v>
      </c>
      <c r="AF54" s="206">
        <f t="shared" ca="1" si="32"/>
        <v>0.53600000000000003</v>
      </c>
    </row>
    <row r="55" spans="1:32" ht="17.25" customHeight="1">
      <c r="A55" s="56">
        <f t="shared" ca="1" si="36"/>
        <v>50.788735814583156</v>
      </c>
      <c r="B55" s="52" t="s">
        <v>165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40"/>
      <c r="P55" s="228"/>
      <c r="Q55" s="228"/>
      <c r="R55" s="237" t="s">
        <v>287</v>
      </c>
      <c r="S55" s="270" t="str">
        <f t="shared" si="33"/>
        <v>FF  11th year of service</v>
      </c>
      <c r="T55" s="266" cm="1">
        <f t="array" aca="1" ref="T55" ca="1">IF($R55="Y",VLOOKUP(S55,INDIRECT($P$2),2,0)*INDIRECT($Q$2),VLOOKUP(S55,INDIRECT($P$2),2,0))</f>
        <v>50.788735814583156</v>
      </c>
      <c r="U55" s="238">
        <f t="shared" ca="1" si="34"/>
        <v>0.46509831332035856</v>
      </c>
      <c r="V55" s="238">
        <f t="shared" ca="1" si="35"/>
        <v>0.63485919768228949</v>
      </c>
      <c r="W55" s="242"/>
      <c r="Y55" s="243"/>
      <c r="AB55" s="165" t="str">
        <f t="shared" si="26"/>
        <v>FF  11th year of service</v>
      </c>
      <c r="AC55" s="165"/>
      <c r="AD55" s="165"/>
      <c r="AE55" s="206">
        <f t="shared" ca="1" si="32"/>
        <v>0.46500000000000002</v>
      </c>
      <c r="AF55" s="206">
        <f t="shared" ca="1" si="32"/>
        <v>0.63500000000000001</v>
      </c>
    </row>
    <row r="56" spans="1:32" ht="17.25" customHeight="1">
      <c r="A56" s="56">
        <f t="shared" ca="1" si="36"/>
        <v>153.49933021711925</v>
      </c>
      <c r="B56" s="52" t="s">
        <v>166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40"/>
      <c r="P56" s="228"/>
      <c r="Q56" s="228"/>
      <c r="R56" s="237" t="s">
        <v>287</v>
      </c>
      <c r="S56" s="270" t="str">
        <f t="shared" si="33"/>
        <v>FF  12th year of service</v>
      </c>
      <c r="T56" s="266" cm="1">
        <f t="array" aca="1" ref="T56" ca="1">IF($R56="Y",VLOOKUP(S56,INDIRECT($P$2),2,0)*INDIRECT($Q$2),VLOOKUP(S56,INDIRECT($P$2),2,0))</f>
        <v>153.49933021711925</v>
      </c>
      <c r="U56" s="238">
        <f t="shared" ca="1" si="34"/>
        <v>1.4056715221347917</v>
      </c>
      <c r="V56" s="238">
        <f t="shared" ca="1" si="35"/>
        <v>1.9187416277139906</v>
      </c>
      <c r="W56" s="242"/>
      <c r="Y56" s="243"/>
      <c r="AB56" s="165" t="str">
        <f t="shared" si="26"/>
        <v>FF  12th year of service</v>
      </c>
      <c r="AC56" s="165"/>
      <c r="AD56" s="165"/>
      <c r="AE56" s="206">
        <f t="shared" ca="1" si="32"/>
        <v>1.4059999999999999</v>
      </c>
      <c r="AF56" s="206">
        <f t="shared" ca="1" si="32"/>
        <v>1.919</v>
      </c>
    </row>
    <row r="57" spans="1:32" ht="17.25" customHeight="1">
      <c r="A57" s="56">
        <f t="shared" ca="1" si="36"/>
        <v>162.12968997045289</v>
      </c>
      <c r="B57" s="52" t="s">
        <v>167</v>
      </c>
      <c r="P57" s="228"/>
      <c r="Q57" s="228"/>
      <c r="R57" s="237" t="s">
        <v>287</v>
      </c>
      <c r="S57" s="270" t="str">
        <f t="shared" si="33"/>
        <v>FF  13th year of service</v>
      </c>
      <c r="T57" s="266" cm="1">
        <f t="array" aca="1" ref="T57" ca="1">IF($R57="Y",VLOOKUP(S57,INDIRECT($P$2),2,0)*INDIRECT($Q$2),VLOOKUP(S57,INDIRECT($P$2),2,0))</f>
        <v>162.12968997045289</v>
      </c>
      <c r="U57" s="238">
        <f t="shared" ca="1" si="34"/>
        <v>1.484704120608543</v>
      </c>
      <c r="V57" s="238">
        <f t="shared" ca="1" si="35"/>
        <v>2.0266211246306609</v>
      </c>
      <c r="W57" s="242"/>
      <c r="Y57" s="243"/>
      <c r="AB57" s="165" t="str">
        <f t="shared" si="26"/>
        <v>FF  13th year of service</v>
      </c>
      <c r="AC57" s="165"/>
      <c r="AD57" s="165"/>
      <c r="AE57" s="206">
        <f t="shared" ca="1" si="32"/>
        <v>1.4850000000000001</v>
      </c>
      <c r="AF57" s="206">
        <f t="shared" ca="1" si="32"/>
        <v>2.0270000000000001</v>
      </c>
    </row>
    <row r="58" spans="1:32" ht="17.25" customHeight="1">
      <c r="A58" s="56">
        <f t="shared" ca="1" si="36"/>
        <v>170.74452749401416</v>
      </c>
      <c r="B58" s="52" t="s">
        <v>168</v>
      </c>
      <c r="P58" s="228"/>
      <c r="Q58" s="228"/>
      <c r="R58" s="237" t="s">
        <v>287</v>
      </c>
      <c r="S58" s="270" t="str">
        <f t="shared" si="33"/>
        <v>FF  14th year of service</v>
      </c>
      <c r="T58" s="266" cm="1">
        <f t="array" aca="1" ref="T58" ca="1">IF($R58="Y",VLOOKUP(S58,INDIRECT($P$2),2,0)*INDIRECT($Q$2),VLOOKUP(S58,INDIRECT($P$2),2,0))</f>
        <v>170.74452749401416</v>
      </c>
      <c r="U58" s="238">
        <f t="shared" ca="1" si="34"/>
        <v>1.5635945741210089</v>
      </c>
      <c r="V58" s="238">
        <f t="shared" ca="1" si="35"/>
        <v>2.1343065936751771</v>
      </c>
      <c r="W58" s="242"/>
      <c r="Y58" s="243"/>
      <c r="AB58" s="165" t="str">
        <f t="shared" si="26"/>
        <v>FF  14th year of service</v>
      </c>
      <c r="AC58" s="165"/>
      <c r="AD58" s="165"/>
      <c r="AE58" s="206">
        <f t="shared" ca="1" si="32"/>
        <v>1.5640000000000001</v>
      </c>
      <c r="AF58" s="206">
        <f t="shared" ca="1" si="32"/>
        <v>2.1339999999999999</v>
      </c>
    </row>
    <row r="59" spans="1:32" ht="17.25" customHeight="1">
      <c r="A59" s="56">
        <f t="shared" ca="1" si="36"/>
        <v>223.33384196217062</v>
      </c>
      <c r="B59" s="52" t="s">
        <v>169</v>
      </c>
      <c r="P59" s="228"/>
      <c r="Q59" s="228"/>
      <c r="R59" s="237" t="s">
        <v>287</v>
      </c>
      <c r="S59" s="270" t="str">
        <f t="shared" si="33"/>
        <v>FF  15th year of service</v>
      </c>
      <c r="T59" s="266" cm="1">
        <f t="array" aca="1" ref="T59" ca="1">IF($R59="Y",VLOOKUP(S59,INDIRECT($P$2),2,0)*INDIRECT($Q$2),VLOOKUP(S59,INDIRECT($P$2),2,0))</f>
        <v>223.33384196217062</v>
      </c>
      <c r="U59" s="238">
        <f t="shared" ca="1" si="34"/>
        <v>2.0451817029502806</v>
      </c>
      <c r="V59" s="238">
        <f t="shared" ca="1" si="35"/>
        <v>2.7916730245271326</v>
      </c>
      <c r="W59" s="242"/>
      <c r="Y59" s="243"/>
      <c r="AB59" s="165" t="str">
        <f t="shared" si="26"/>
        <v>FF  15th year of service</v>
      </c>
      <c r="AC59" s="165"/>
      <c r="AD59" s="165"/>
      <c r="AE59" s="206">
        <f t="shared" ca="1" si="32"/>
        <v>2.0449999999999999</v>
      </c>
      <c r="AF59" s="206">
        <f t="shared" ca="1" si="32"/>
        <v>2.7919999999999998</v>
      </c>
    </row>
    <row r="60" spans="1:32" ht="17.25" customHeight="1">
      <c r="A60" s="56">
        <f t="shared" ca="1" si="36"/>
        <v>231.94867948573193</v>
      </c>
      <c r="B60" s="52" t="s">
        <v>170</v>
      </c>
      <c r="P60" s="228"/>
      <c r="Q60" s="228"/>
      <c r="R60" s="237" t="s">
        <v>287</v>
      </c>
      <c r="S60" s="270" t="str">
        <f t="shared" si="33"/>
        <v>FF  16th year of service</v>
      </c>
      <c r="T60" s="266" cm="1">
        <f t="array" aca="1" ref="T60" ca="1">IF($R60="Y",VLOOKUP(S60,INDIRECT($P$2),2,0)*INDIRECT($Q$2),VLOOKUP(S60,INDIRECT($P$2),2,0))</f>
        <v>231.94867948573193</v>
      </c>
      <c r="U60" s="238">
        <f t="shared" ca="1" si="34"/>
        <v>2.1240721564627467</v>
      </c>
      <c r="V60" s="238">
        <f t="shared" ca="1" si="35"/>
        <v>2.8993584935716492</v>
      </c>
      <c r="W60" s="242"/>
      <c r="Y60" s="243"/>
      <c r="AB60" s="165" t="str">
        <f t="shared" si="26"/>
        <v>FF  16th year of service</v>
      </c>
      <c r="AC60" s="165"/>
      <c r="AD60" s="165"/>
      <c r="AE60" s="206">
        <f t="shared" ca="1" si="32"/>
        <v>2.1240000000000001</v>
      </c>
      <c r="AF60" s="206">
        <f t="shared" ca="1" si="32"/>
        <v>2.899</v>
      </c>
    </row>
    <row r="61" spans="1:32" ht="17.25" customHeight="1">
      <c r="A61" s="56">
        <f t="shared" ca="1" si="36"/>
        <v>240.57903923906562</v>
      </c>
      <c r="B61" s="52" t="s">
        <v>171</v>
      </c>
      <c r="P61" s="228"/>
      <c r="Q61" s="228"/>
      <c r="R61" s="237" t="s">
        <v>287</v>
      </c>
      <c r="S61" s="270" t="str">
        <f t="shared" si="33"/>
        <v>FF  17th year of service</v>
      </c>
      <c r="T61" s="266" cm="1">
        <f t="array" aca="1" ref="T61" ca="1">IF($R61="Y",VLOOKUP(S61,INDIRECT($P$2),2,0)*INDIRECT($Q$2),VLOOKUP(S61,INDIRECT($P$2),2,0))</f>
        <v>240.57903923906562</v>
      </c>
      <c r="U61" s="238">
        <f t="shared" ca="1" si="34"/>
        <v>2.2031047549364984</v>
      </c>
      <c r="V61" s="238">
        <f t="shared" ca="1" si="35"/>
        <v>3.0072379904883202</v>
      </c>
      <c r="W61" s="242"/>
      <c r="Y61" s="243"/>
      <c r="AB61" s="165" t="str">
        <f t="shared" si="26"/>
        <v>FF  17th year of service</v>
      </c>
      <c r="AC61" s="165"/>
      <c r="AD61" s="165"/>
      <c r="AE61" s="206">
        <f t="shared" ca="1" si="32"/>
        <v>2.2029999999999998</v>
      </c>
      <c r="AF61" s="206">
        <f t="shared" ca="1" si="32"/>
        <v>3.0070000000000001</v>
      </c>
    </row>
    <row r="62" spans="1:32" ht="17.25" customHeight="1">
      <c r="A62" s="56">
        <f t="shared" ca="1" si="36"/>
        <v>249.20939899240048</v>
      </c>
      <c r="B62" s="52" t="s">
        <v>172</v>
      </c>
      <c r="P62" s="228"/>
      <c r="Q62" s="228"/>
      <c r="R62" s="237" t="s">
        <v>287</v>
      </c>
      <c r="S62" s="270" t="str">
        <f t="shared" si="33"/>
        <v>FF  18th year of service</v>
      </c>
      <c r="T62" s="266" cm="1">
        <f t="array" aca="1" ref="T62" ca="1">IF($R62="Y",VLOOKUP(S62,INDIRECT($P$2),2,0)*INDIRECT($Q$2),VLOOKUP(S62,INDIRECT($P$2),2,0))</f>
        <v>249.20939899240048</v>
      </c>
      <c r="U62" s="238">
        <f t="shared" ca="1" si="34"/>
        <v>2.2821373534102607</v>
      </c>
      <c r="V62" s="238">
        <f t="shared" ca="1" si="35"/>
        <v>3.1151174874050058</v>
      </c>
      <c r="W62" s="242"/>
      <c r="Y62" s="243"/>
      <c r="AB62" s="165" t="str">
        <f t="shared" si="26"/>
        <v>FF  18th year of service</v>
      </c>
      <c r="AC62" s="165"/>
      <c r="AD62" s="165"/>
      <c r="AE62" s="206">
        <f t="shared" ca="1" si="32"/>
        <v>2.282</v>
      </c>
      <c r="AF62" s="206">
        <f t="shared" ca="1" si="32"/>
        <v>3.1150000000000002</v>
      </c>
    </row>
    <row r="63" spans="1:32" ht="17.25" customHeight="1">
      <c r="A63" s="56">
        <f t="shared" ca="1" si="36"/>
        <v>273.67243311336051</v>
      </c>
      <c r="B63" s="52" t="s">
        <v>173</v>
      </c>
      <c r="P63" s="228"/>
      <c r="Q63" s="228"/>
      <c r="R63" s="237" t="s">
        <v>287</v>
      </c>
      <c r="S63" s="270" t="str">
        <f t="shared" si="33"/>
        <v>FF  19th year of service</v>
      </c>
      <c r="T63" s="266" cm="1">
        <f t="array" aca="1" ref="T63" ca="1">IF($R63="Y",VLOOKUP(S63,INDIRECT($P$2),2,0)*INDIRECT($Q$2),VLOOKUP(S63,INDIRECT($P$2),2,0))</f>
        <v>273.67243311336051</v>
      </c>
      <c r="U63" s="238">
        <f t="shared" ca="1" si="34"/>
        <v>2.5061578123934112</v>
      </c>
      <c r="V63" s="238">
        <f t="shared" ca="1" si="35"/>
        <v>3.4209054139170063</v>
      </c>
      <c r="W63" s="242"/>
      <c r="Y63" s="243"/>
      <c r="AB63" s="165" t="str">
        <f t="shared" si="26"/>
        <v>FF  19th year of service</v>
      </c>
      <c r="AC63" s="165"/>
      <c r="AD63" s="165"/>
      <c r="AE63" s="206">
        <f t="shared" ca="1" si="32"/>
        <v>2.5059999999999998</v>
      </c>
      <c r="AF63" s="206">
        <f t="shared" ca="1" si="32"/>
        <v>3.4209999999999998</v>
      </c>
    </row>
    <row r="64" spans="1:32" ht="17.25" customHeight="1">
      <c r="A64" s="56">
        <f t="shared" ca="1" si="36"/>
        <v>343.83291168362797</v>
      </c>
      <c r="B64" s="52" t="s">
        <v>174</v>
      </c>
      <c r="P64" s="228"/>
      <c r="Q64" s="228"/>
      <c r="R64" s="237" t="s">
        <v>287</v>
      </c>
      <c r="S64" s="270" t="str">
        <f t="shared" si="33"/>
        <v>FF  20th year of service</v>
      </c>
      <c r="T64" s="266" cm="1">
        <f t="array" aca="1" ref="T64" ca="1">IF($R64="Y",VLOOKUP(S64,INDIRECT($P$2),2,0)*INDIRECT($Q$2),VLOOKUP(S64,INDIRECT($P$2),2,0))</f>
        <v>343.83291168362797</v>
      </c>
      <c r="U64" s="238">
        <f t="shared" ca="1" si="34"/>
        <v>3.1486530373958606</v>
      </c>
      <c r="V64" s="238">
        <f t="shared" ca="1" si="35"/>
        <v>4.2979113960453494</v>
      </c>
      <c r="W64" s="242"/>
      <c r="Y64" s="243"/>
      <c r="AB64" s="165" t="str">
        <f t="shared" si="26"/>
        <v>FF  20th year of service</v>
      </c>
      <c r="AC64" s="165"/>
      <c r="AD64" s="165"/>
      <c r="AE64" s="206">
        <f t="shared" ca="1" si="32"/>
        <v>3.149</v>
      </c>
      <c r="AF64" s="206">
        <f t="shared" ca="1" si="32"/>
        <v>4.298</v>
      </c>
    </row>
    <row r="65" spans="1:32" ht="17.25" customHeight="1">
      <c r="A65" s="56">
        <f t="shared" ca="1" si="36"/>
        <v>405.02428750945421</v>
      </c>
      <c r="B65" s="52" t="s">
        <v>175</v>
      </c>
      <c r="P65" s="228"/>
      <c r="Q65" s="228"/>
      <c r="R65" s="237" t="s">
        <v>287</v>
      </c>
      <c r="S65" s="270" t="str">
        <f t="shared" si="33"/>
        <v>FF  21st year of service</v>
      </c>
      <c r="T65" s="266" cm="1">
        <f t="array" aca="1" ref="T65" ca="1">IF($R65="Y",VLOOKUP(S65,INDIRECT($P$2),2,0)*INDIRECT($Q$2),VLOOKUP(S65,INDIRECT($P$2),2,0))</f>
        <v>405.02428750945421</v>
      </c>
      <c r="U65" s="238">
        <f t="shared" ca="1" si="34"/>
        <v>3.7090136218814487</v>
      </c>
      <c r="V65" s="238">
        <f t="shared" ca="1" si="35"/>
        <v>5.0628035938681775</v>
      </c>
      <c r="W65" s="242"/>
      <c r="Y65" s="243"/>
      <c r="AB65" s="165" t="str">
        <f t="shared" si="26"/>
        <v>FF  21st year of service</v>
      </c>
      <c r="AC65" s="165"/>
      <c r="AD65" s="165"/>
      <c r="AE65" s="206">
        <f t="shared" ca="1" si="32"/>
        <v>3.7090000000000001</v>
      </c>
      <c r="AF65" s="206">
        <f t="shared" ca="1" si="32"/>
        <v>5.0629999999999997</v>
      </c>
    </row>
    <row r="66" spans="1:32" ht="17.25" customHeight="1">
      <c r="A66" s="56">
        <f t="shared" ca="1" si="36"/>
        <v>413.65464726278805</v>
      </c>
      <c r="B66" s="52" t="s">
        <v>176</v>
      </c>
      <c r="P66" s="228"/>
      <c r="Q66" s="228"/>
      <c r="R66" s="237" t="s">
        <v>287</v>
      </c>
      <c r="S66" s="270" t="str">
        <f t="shared" si="33"/>
        <v>FF  22nd year of service</v>
      </c>
      <c r="T66" s="266" cm="1">
        <f t="array" aca="1" ref="T66" ca="1">IF($R66="Y",VLOOKUP(S66,INDIRECT($P$2),2,0)*INDIRECT($Q$2),VLOOKUP(S66,INDIRECT($P$2),2,0))</f>
        <v>413.65464726278805</v>
      </c>
      <c r="U66" s="238">
        <f t="shared" ca="1" si="34"/>
        <v>3.7880462203552017</v>
      </c>
      <c r="V66" s="238">
        <f t="shared" ca="1" si="35"/>
        <v>5.1706830907848502</v>
      </c>
      <c r="W66" s="242"/>
      <c r="Y66" s="243"/>
      <c r="AB66" s="165" t="str">
        <f t="shared" si="26"/>
        <v>FF  22nd year of service</v>
      </c>
      <c r="AC66" s="165"/>
      <c r="AD66" s="165"/>
      <c r="AE66" s="206">
        <f t="shared" ca="1" si="32"/>
        <v>3.7879999999999998</v>
      </c>
      <c r="AF66" s="206">
        <f t="shared" ca="1" si="32"/>
        <v>5.1710000000000003</v>
      </c>
    </row>
    <row r="67" spans="1:32" ht="17.25" customHeight="1">
      <c r="A67" s="56">
        <f t="shared" ca="1" si="36"/>
        <v>422.28500701612194</v>
      </c>
      <c r="B67" s="52" t="s">
        <v>177</v>
      </c>
      <c r="P67" s="228"/>
      <c r="Q67" s="228"/>
      <c r="R67" s="237" t="s">
        <v>287</v>
      </c>
      <c r="S67" s="270" t="str">
        <f t="shared" si="33"/>
        <v>FF  23rd year of service</v>
      </c>
      <c r="T67" s="266" cm="1">
        <f t="array" aca="1" ref="T67" ca="1">IF($R67="Y",VLOOKUP(S67,INDIRECT($P$2),2,0)*INDIRECT($Q$2),VLOOKUP(S67,INDIRECT($P$2),2,0))</f>
        <v>422.28500701612194</v>
      </c>
      <c r="U67" s="238">
        <f t="shared" ca="1" si="34"/>
        <v>3.8670788188289555</v>
      </c>
      <c r="V67" s="238">
        <f t="shared" ca="1" si="35"/>
        <v>5.2785625877015239</v>
      </c>
      <c r="W67" s="242"/>
      <c r="Y67" s="243"/>
      <c r="AB67" s="165" t="str">
        <f t="shared" si="26"/>
        <v>FF  23rd year of service</v>
      </c>
      <c r="AC67" s="165"/>
      <c r="AD67" s="165"/>
      <c r="AE67" s="206">
        <f t="shared" ca="1" si="32"/>
        <v>3.867</v>
      </c>
      <c r="AF67" s="206">
        <f t="shared" ca="1" si="32"/>
        <v>5.2789999999999999</v>
      </c>
    </row>
    <row r="68" spans="1:32" ht="17.25" customHeight="1">
      <c r="A68" s="56">
        <f t="shared" ca="1" si="36"/>
        <v>430.91536676945583</v>
      </c>
      <c r="B68" s="52" t="s">
        <v>178</v>
      </c>
      <c r="P68" s="228"/>
      <c r="Q68" s="228"/>
      <c r="R68" s="237" t="s">
        <v>287</v>
      </c>
      <c r="S68" s="270" t="str">
        <f t="shared" si="33"/>
        <v>FF  24th year of service</v>
      </c>
      <c r="T68" s="266" cm="1">
        <f t="array" aca="1" ref="T68" ca="1">IF($R68="Y",VLOOKUP(S68,INDIRECT($P$2),2,0)*INDIRECT($Q$2),VLOOKUP(S68,INDIRECT($P$2),2,0))</f>
        <v>430.91536676945583</v>
      </c>
      <c r="U68" s="238">
        <f t="shared" ca="1" si="34"/>
        <v>3.946111417302709</v>
      </c>
      <c r="V68" s="238">
        <f t="shared" ca="1" si="35"/>
        <v>5.3864420846181975</v>
      </c>
      <c r="W68" s="242"/>
      <c r="Y68" s="243"/>
      <c r="AB68" s="165" t="str">
        <f t="shared" si="26"/>
        <v>FF  24th year of service</v>
      </c>
      <c r="AC68" s="165"/>
      <c r="AD68" s="165"/>
      <c r="AE68" s="206">
        <f t="shared" ca="1" si="32"/>
        <v>3.9460000000000002</v>
      </c>
      <c r="AF68" s="206">
        <f t="shared" ca="1" si="32"/>
        <v>5.3860000000000001</v>
      </c>
    </row>
    <row r="69" spans="1:32" ht="17.25" customHeight="1">
      <c r="A69" s="56">
        <f t="shared" ca="1" si="36"/>
        <v>465.90247267595663</v>
      </c>
      <c r="B69" s="52" t="s">
        <v>179</v>
      </c>
      <c r="P69" s="228"/>
      <c r="Q69" s="228"/>
      <c r="R69" s="237" t="s">
        <v>287</v>
      </c>
      <c r="S69" s="270" t="str">
        <f t="shared" si="33"/>
        <v>FF  25th year of service</v>
      </c>
      <c r="T69" s="266" cm="1">
        <f t="array" aca="1" ref="T69" ca="1">IF($R69="Y",VLOOKUP(S69,INDIRECT($P$2),2,0)*INDIRECT($Q$2),VLOOKUP(S69,INDIRECT($P$2),2,0))</f>
        <v>465.90247267595663</v>
      </c>
      <c r="U69" s="238">
        <f t="shared" ca="1" si="34"/>
        <v>4.2665061600362328</v>
      </c>
      <c r="V69" s="238">
        <f t="shared" ca="1" si="35"/>
        <v>5.8237809084494581</v>
      </c>
      <c r="W69" s="242"/>
      <c r="Y69" s="243"/>
      <c r="AB69" s="165" t="str">
        <f t="shared" si="26"/>
        <v>FF  25th year of service</v>
      </c>
      <c r="AC69" s="165"/>
      <c r="AD69" s="165"/>
      <c r="AE69" s="206">
        <f t="shared" ca="1" si="32"/>
        <v>4.2670000000000003</v>
      </c>
      <c r="AF69" s="206">
        <f t="shared" ca="1" si="32"/>
        <v>5.8239999999999998</v>
      </c>
    </row>
    <row r="70" spans="1:32" ht="17.25" customHeight="1">
      <c r="A70" s="56">
        <f t="shared" ca="1" si="36"/>
        <v>533.6712547598321</v>
      </c>
      <c r="B70" s="52" t="s">
        <v>180</v>
      </c>
      <c r="P70" s="228"/>
      <c r="Q70" s="228"/>
      <c r="R70" s="237" t="s">
        <v>287</v>
      </c>
      <c r="S70" s="270" t="str">
        <f t="shared" si="33"/>
        <v>FF 26th year of service</v>
      </c>
      <c r="T70" s="266" cm="1">
        <f t="array" aca="1" ref="T70" ca="1">IF($R70="Y",VLOOKUP(S70,INDIRECT($P$2),2,0)*INDIRECT($Q$2),VLOOKUP(S70,INDIRECT($P$2),2,0))</f>
        <v>533.6712547598321</v>
      </c>
      <c r="U70" s="238">
        <f t="shared" ca="1" si="34"/>
        <v>4.8870994025625647</v>
      </c>
      <c r="V70" s="238">
        <f t="shared" ca="1" si="35"/>
        <v>6.670890684497901</v>
      </c>
      <c r="W70" s="242"/>
      <c r="Y70" s="243"/>
      <c r="AB70" s="165" t="str">
        <f t="shared" si="26"/>
        <v>FF 26th year of service</v>
      </c>
      <c r="AC70" s="165"/>
      <c r="AD70" s="165"/>
      <c r="AE70" s="206">
        <f t="shared" ca="1" si="32"/>
        <v>4.8869999999999996</v>
      </c>
      <c r="AF70" s="206">
        <f t="shared" ca="1" si="32"/>
        <v>6.6710000000000003</v>
      </c>
    </row>
    <row r="71" spans="1:32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230"/>
    </row>
    <row r="72" spans="1:32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230"/>
    </row>
    <row r="73" spans="1:32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230"/>
    </row>
    <row r="74" spans="1:32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230"/>
    </row>
    <row r="75" spans="1:32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230"/>
    </row>
    <row r="76" spans="1:32">
      <c r="A76" s="42" t="s">
        <v>311</v>
      </c>
      <c r="B76" s="41"/>
      <c r="C76" s="41"/>
      <c r="D76" s="41"/>
      <c r="E76" s="41"/>
      <c r="F76" s="41"/>
      <c r="G76" s="41"/>
      <c r="H76" s="41"/>
      <c r="I76" s="41"/>
      <c r="J76" s="54"/>
      <c r="K76" s="46" t="s">
        <v>312</v>
      </c>
      <c r="L76" s="54"/>
      <c r="M76" s="54"/>
      <c r="N76" s="42"/>
      <c r="P76" s="230"/>
    </row>
    <row r="77" spans="1:32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44"/>
      <c r="P77" s="230"/>
    </row>
    <row r="78" spans="1:32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44"/>
      <c r="P78" s="230"/>
    </row>
    <row r="79" spans="1:32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44"/>
      <c r="P79" s="230"/>
    </row>
    <row r="80" spans="1:32"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54"/>
      <c r="N80" s="44"/>
      <c r="P80" s="230"/>
    </row>
    <row r="81" spans="1:15">
      <c r="A81" s="41"/>
      <c r="B81" s="52"/>
    </row>
    <row r="82" spans="1:15">
      <c r="A82" s="41"/>
    </row>
    <row r="83" spans="1:15">
      <c r="A83" s="51"/>
    </row>
    <row r="84" spans="1:15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</row>
    <row r="85" spans="1:15">
      <c r="A85" s="51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44"/>
    </row>
    <row r="86" spans="1:15">
      <c r="A86" s="51"/>
      <c r="B86" s="52"/>
      <c r="O86" s="244"/>
    </row>
    <row r="87" spans="1:15">
      <c r="A87" s="51"/>
      <c r="B87" s="52"/>
      <c r="O87" s="244"/>
    </row>
    <row r="88" spans="1:15">
      <c r="A88" s="51"/>
      <c r="B88" s="52"/>
      <c r="O88" s="244"/>
    </row>
    <row r="89" spans="1:15">
      <c r="A89" s="51"/>
      <c r="B89" s="52"/>
      <c r="O89" s="244"/>
    </row>
    <row r="90" spans="1:15">
      <c r="A90" s="51"/>
      <c r="B90" s="52"/>
      <c r="O90" s="244"/>
    </row>
    <row r="91" spans="1:15">
      <c r="A91" s="51"/>
      <c r="B91" s="52"/>
      <c r="O91" s="244"/>
    </row>
    <row r="92" spans="1:15">
      <c r="A92" s="51"/>
      <c r="B92" s="52"/>
      <c r="O92" s="244"/>
    </row>
    <row r="93" spans="1:15">
      <c r="A93" s="51"/>
      <c r="B93" s="52"/>
      <c r="O93" s="244"/>
    </row>
    <row r="94" spans="1:15">
      <c r="A94" s="51"/>
      <c r="B94" s="52"/>
      <c r="O94" s="244"/>
    </row>
    <row r="95" spans="1:15">
      <c r="A95" s="51"/>
      <c r="B95" s="52"/>
      <c r="O95" s="244"/>
    </row>
    <row r="96" spans="1:15">
      <c r="A96" s="51"/>
      <c r="B96" s="52"/>
      <c r="O96" s="244"/>
    </row>
    <row r="97" spans="1:15">
      <c r="A97" s="51"/>
      <c r="B97" s="52"/>
      <c r="O97" s="244"/>
    </row>
    <row r="98" spans="1:15">
      <c r="A98" s="51"/>
      <c r="B98" s="52"/>
      <c r="O98" s="244"/>
    </row>
    <row r="99" spans="1:15">
      <c r="B99" s="52"/>
      <c r="O99" s="244"/>
    </row>
    <row r="100" spans="1:15">
      <c r="B100" s="52"/>
      <c r="O100" s="244"/>
    </row>
    <row r="101" spans="1:15">
      <c r="B101" s="52"/>
    </row>
    <row r="102" spans="1:15">
      <c r="B102" s="52"/>
    </row>
  </sheetData>
  <autoFilter ref="A8:AJ27" xr:uid="{12163280-AAA0-426A-B090-B727DD666EFA}"/>
  <mergeCells count="5">
    <mergeCell ref="F3:L3"/>
    <mergeCell ref="U28:V28"/>
    <mergeCell ref="B84:N84"/>
    <mergeCell ref="B85:N85"/>
    <mergeCell ref="G7:L7"/>
  </mergeCells>
  <pageMargins left="0.25" right="0.25" top="0.75" bottom="0.75" header="0.3" footer="0.3"/>
  <pageSetup orientation="landscape" r:id="rId1"/>
  <headerFooter alignWithMargins="0"/>
  <rowBreaks count="2" manualBreakCount="2">
    <brk id="28" max="16383" man="1"/>
    <brk id="55" max="16383" man="1"/>
  </rowBreaks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8F40-DD1B-4333-87A5-BB85F75F8297}">
  <sheetPr codeName="Sheet28"/>
  <dimension ref="A1:AJ102"/>
  <sheetViews>
    <sheetView showGridLines="0" topLeftCell="A61" zoomScaleNormal="100" workbookViewId="0">
      <selection activeCell="A8" sqref="A8:N77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6.3984375" style="42" bestFit="1" customWidth="1"/>
    <col min="4" max="4" width="26.86328125" style="42" bestFit="1" customWidth="1"/>
    <col min="5" max="5" width="6.59765625" style="42" hidden="1" customWidth="1"/>
    <col min="6" max="6" width="2.1328125" style="42" hidden="1" customWidth="1"/>
    <col min="7" max="11" width="6.59765625" style="42" customWidth="1"/>
    <col min="12" max="12" width="6.59765625" style="42" bestFit="1" customWidth="1"/>
    <col min="13" max="13" width="6.3984375" style="42" customWidth="1"/>
    <col min="14" max="14" width="46.3984375" style="46" customWidth="1"/>
    <col min="15" max="15" width="23.86328125" style="210" customWidth="1"/>
    <col min="16" max="16" width="14.86328125" style="211" customWidth="1"/>
    <col min="17" max="17" width="11.59765625" style="211" customWidth="1"/>
    <col min="18" max="18" width="7.86328125" style="211" customWidth="1"/>
    <col min="19" max="19" width="24.3984375" style="214" customWidth="1"/>
    <col min="20" max="20" width="32.1328125" style="211" customWidth="1"/>
    <col min="21" max="21" width="9.3984375" style="211" customWidth="1"/>
    <col min="22" max="26" width="7.3984375" style="211" customWidth="1"/>
    <col min="27" max="27" width="9.1328125" style="42" customWidth="1"/>
    <col min="28" max="28" width="24.3984375" style="205" customWidth="1"/>
    <col min="29" max="29" width="5.86328125" style="205" customWidth="1"/>
    <col min="30" max="30" width="32.1328125" style="205" customWidth="1"/>
    <col min="31" max="31" width="9.3984375" style="205" customWidth="1"/>
    <col min="32" max="36" width="7.3984375" style="205" customWidth="1"/>
    <col min="37" max="16384" width="9.1328125" style="42"/>
  </cols>
  <sheetData>
    <row r="1" spans="1:36">
      <c r="A1" s="42" t="s">
        <v>310</v>
      </c>
    </row>
    <row r="2" spans="1:36" ht="15.75">
      <c r="A2" s="273" t="s">
        <v>140</v>
      </c>
      <c r="B2" s="274"/>
      <c r="C2" s="274"/>
      <c r="D2" s="274"/>
      <c r="E2" s="275"/>
      <c r="F2" s="41"/>
      <c r="G2" s="41"/>
      <c r="H2" s="41"/>
      <c r="O2" s="210" t="s">
        <v>288</v>
      </c>
      <c r="P2" s="211" t="s">
        <v>296</v>
      </c>
      <c r="Q2" s="212" t="s">
        <v>295</v>
      </c>
      <c r="R2" s="213">
        <f>102.5%*104%</f>
        <v>1.0659999999999998</v>
      </c>
    </row>
    <row r="3" spans="1:36" ht="15.75">
      <c r="A3" s="246" t="s">
        <v>309</v>
      </c>
      <c r="B3" s="44"/>
      <c r="C3" s="44"/>
      <c r="D3" s="41"/>
      <c r="E3" s="41"/>
      <c r="F3" s="282" t="s">
        <v>80</v>
      </c>
      <c r="G3" s="282"/>
      <c r="H3" s="282"/>
      <c r="I3" s="282"/>
      <c r="J3" s="282"/>
      <c r="K3" s="282"/>
      <c r="L3" s="282"/>
      <c r="M3" s="41"/>
      <c r="N3" s="44"/>
      <c r="U3" s="211">
        <v>3</v>
      </c>
      <c r="V3" s="211">
        <v>4</v>
      </c>
      <c r="W3" s="211">
        <v>5</v>
      </c>
      <c r="X3" s="211">
        <v>6</v>
      </c>
      <c r="Y3" s="211">
        <v>7</v>
      </c>
      <c r="Z3" s="211">
        <v>8</v>
      </c>
    </row>
    <row r="4" spans="1:36">
      <c r="A4" s="247" t="s">
        <v>304</v>
      </c>
      <c r="B4" s="44"/>
      <c r="C4" s="44"/>
      <c r="D4" s="41"/>
      <c r="E4" s="41"/>
      <c r="F4" s="43"/>
      <c r="G4" s="43"/>
      <c r="H4" s="43"/>
      <c r="I4" s="43"/>
      <c r="J4" s="43"/>
      <c r="K4" s="43"/>
      <c r="L4" s="43"/>
      <c r="M4" s="41"/>
      <c r="N4" s="44"/>
    </row>
    <row r="5" spans="1:36">
      <c r="A5" s="50" t="s">
        <v>307</v>
      </c>
      <c r="B5" s="44"/>
      <c r="C5" s="44"/>
      <c r="D5" s="41"/>
      <c r="E5" s="41"/>
      <c r="F5" s="43"/>
      <c r="G5" s="43"/>
      <c r="H5" s="43"/>
      <c r="I5" s="43"/>
      <c r="J5" s="43"/>
      <c r="K5" s="43"/>
      <c r="L5" s="43"/>
      <c r="M5" s="41"/>
      <c r="N5" s="44"/>
    </row>
    <row r="6" spans="1:36" ht="14.65" thickBot="1">
      <c r="A6" s="50"/>
      <c r="B6" s="44"/>
      <c r="C6" s="44"/>
      <c r="D6" s="41"/>
      <c r="E6" s="41"/>
      <c r="F6" s="43"/>
      <c r="G6" s="43"/>
      <c r="H6" s="43"/>
      <c r="I6" s="43"/>
      <c r="J6" s="43"/>
      <c r="K6" s="43"/>
      <c r="L6" s="43"/>
      <c r="M6" s="41"/>
      <c r="N6" s="44"/>
      <c r="O6" s="222" t="s">
        <v>301</v>
      </c>
      <c r="U6" s="277"/>
      <c r="AB6" s="248" t="s">
        <v>302</v>
      </c>
    </row>
    <row r="7" spans="1:36" ht="14.65" thickBot="1">
      <c r="A7" s="43"/>
      <c r="B7" s="44"/>
      <c r="C7" s="44"/>
      <c r="D7" s="41"/>
      <c r="E7" s="41"/>
      <c r="F7" s="43"/>
      <c r="G7" s="283" t="s">
        <v>300</v>
      </c>
      <c r="H7" s="284"/>
      <c r="I7" s="284"/>
      <c r="J7" s="284"/>
      <c r="K7" s="284"/>
      <c r="L7" s="285"/>
      <c r="M7" s="41"/>
      <c r="N7" s="44"/>
    </row>
    <row r="8" spans="1:36" ht="30" customHeight="1" thickBot="1">
      <c r="A8" s="175" t="s">
        <v>137</v>
      </c>
      <c r="B8" s="176" t="s">
        <v>114</v>
      </c>
      <c r="C8" s="176" t="s">
        <v>138</v>
      </c>
      <c r="D8" s="177" t="s">
        <v>4</v>
      </c>
      <c r="E8" s="177" t="s">
        <v>5</v>
      </c>
      <c r="F8" s="249" t="s">
        <v>6</v>
      </c>
      <c r="G8" s="255" t="s">
        <v>7</v>
      </c>
      <c r="H8" s="256" t="s">
        <v>8</v>
      </c>
      <c r="I8" s="256" t="s">
        <v>9</v>
      </c>
      <c r="J8" s="256" t="s">
        <v>10</v>
      </c>
      <c r="K8" s="256" t="s">
        <v>11</v>
      </c>
      <c r="L8" s="257" t="s">
        <v>12</v>
      </c>
      <c r="M8" s="45"/>
      <c r="N8" s="42"/>
      <c r="O8" s="215" t="s">
        <v>285</v>
      </c>
      <c r="P8" s="215" t="s">
        <v>277</v>
      </c>
      <c r="Q8" s="215" t="s">
        <v>138</v>
      </c>
      <c r="R8" s="215" t="s">
        <v>286</v>
      </c>
      <c r="S8" s="215" t="s">
        <v>137</v>
      </c>
      <c r="T8" s="216" t="s">
        <v>279</v>
      </c>
      <c r="U8" s="216" t="s">
        <v>7</v>
      </c>
      <c r="V8" s="216" t="s">
        <v>8</v>
      </c>
      <c r="W8" s="216" t="s">
        <v>9</v>
      </c>
      <c r="X8" s="216" t="s">
        <v>10</v>
      </c>
      <c r="Y8" s="216" t="s">
        <v>11</v>
      </c>
      <c r="Z8" s="216" t="s">
        <v>12</v>
      </c>
      <c r="AB8" s="204" t="s">
        <v>137</v>
      </c>
      <c r="AC8" s="164" t="s">
        <v>138</v>
      </c>
      <c r="AD8" s="161" t="s">
        <v>279</v>
      </c>
      <c r="AE8" s="161" t="s">
        <v>7</v>
      </c>
      <c r="AF8" s="161" t="s">
        <v>8</v>
      </c>
      <c r="AG8" s="161" t="s">
        <v>9</v>
      </c>
      <c r="AH8" s="161" t="s">
        <v>10</v>
      </c>
      <c r="AI8" s="161" t="s">
        <v>11</v>
      </c>
      <c r="AJ8" s="161" t="s">
        <v>12</v>
      </c>
    </row>
    <row r="9" spans="1:36" ht="18.75" customHeight="1">
      <c r="A9" s="179" t="s">
        <v>157</v>
      </c>
      <c r="B9" s="173" t="s">
        <v>115</v>
      </c>
      <c r="C9" s="173" t="str">
        <f>Q9</f>
        <v>CFG 5</v>
      </c>
      <c r="D9" s="174" t="s">
        <v>84</v>
      </c>
      <c r="E9" s="171"/>
      <c r="F9" s="250" t="s">
        <v>17</v>
      </c>
      <c r="G9" s="258">
        <f ca="1">U9*$O9</f>
        <v>2093.6420604384994</v>
      </c>
      <c r="H9" s="259"/>
      <c r="I9" s="259"/>
      <c r="J9" s="259"/>
      <c r="K9" s="259"/>
      <c r="L9" s="260"/>
      <c r="M9" s="45"/>
      <c r="N9" s="42"/>
      <c r="O9" s="217">
        <v>80</v>
      </c>
      <c r="P9" s="218" t="s">
        <v>143</v>
      </c>
      <c r="Q9" s="219" t="s">
        <v>156</v>
      </c>
      <c r="R9" s="219" t="s">
        <v>287</v>
      </c>
      <c r="S9" s="219" t="str">
        <f t="shared" ref="S9:S22" si="0">A9</f>
        <v>04440C</v>
      </c>
      <c r="T9" s="217" t="s">
        <v>84</v>
      </c>
      <c r="U9" s="220" cm="1">
        <f t="array" aca="1" ref="U9" ca="1">IF($R9="Y",VLOOKUP($S9,INDIRECT($P$2),U$3,0)*INDIRECT($Q$2),VLOOKUP($S9,INDIRECT($P$2),U$3,0))</f>
        <v>26.170525755481243</v>
      </c>
      <c r="V9" s="220"/>
      <c r="W9" s="220"/>
      <c r="X9" s="220"/>
      <c r="Y9" s="220"/>
      <c r="Z9" s="220"/>
      <c r="AB9" s="165" t="str">
        <f>S9</f>
        <v>04440C</v>
      </c>
      <c r="AC9" s="165" t="str">
        <f t="shared" ref="AC9:AC22" si="1">C9</f>
        <v>CFG 5</v>
      </c>
      <c r="AD9" s="165" t="str">
        <f>T9</f>
        <v>Fire Cadet</v>
      </c>
      <c r="AE9" s="206">
        <f ca="1">ROUND(U9,3)</f>
        <v>26.170999999999999</v>
      </c>
      <c r="AF9" s="165"/>
      <c r="AG9" s="165"/>
      <c r="AH9" s="165"/>
      <c r="AI9" s="165"/>
      <c r="AJ9" s="165"/>
    </row>
    <row r="10" spans="1:36" ht="18.75" customHeight="1">
      <c r="A10" s="180" t="s">
        <v>15</v>
      </c>
      <c r="B10" s="63" t="s">
        <v>115</v>
      </c>
      <c r="C10" s="173" t="str">
        <f t="shared" ref="C10:C22" si="2">Q10</f>
        <v>CFH 1</v>
      </c>
      <c r="D10" s="59" t="s">
        <v>16</v>
      </c>
      <c r="E10" s="59">
        <v>353</v>
      </c>
      <c r="F10" s="251" t="s">
        <v>17</v>
      </c>
      <c r="G10" s="253">
        <f ca="1">U10*$O10</f>
        <v>2990.8651981258045</v>
      </c>
      <c r="H10" s="188">
        <f t="shared" ref="H10:L10" ca="1" si="3">V10*$O10</f>
        <v>3110.489581744544</v>
      </c>
      <c r="I10" s="188">
        <f t="shared" ca="1" si="3"/>
        <v>3234.9705108520789</v>
      </c>
      <c r="J10" s="188">
        <f t="shared" ca="1" si="3"/>
        <v>3364.307985448409</v>
      </c>
      <c r="K10" s="188">
        <f t="shared" ca="1" si="3"/>
        <v>3498.8854170194913</v>
      </c>
      <c r="L10" s="189">
        <f t="shared" ca="1" si="3"/>
        <v>3638.8306093939786</v>
      </c>
      <c r="M10" s="47"/>
      <c r="N10" s="42"/>
      <c r="O10" s="217">
        <v>109.2</v>
      </c>
      <c r="P10" s="219" t="s">
        <v>144</v>
      </c>
      <c r="Q10" s="219" t="s">
        <v>235</v>
      </c>
      <c r="R10" s="219" t="s">
        <v>287</v>
      </c>
      <c r="S10" s="219" t="str">
        <f t="shared" si="0"/>
        <v>04450C</v>
      </c>
      <c r="T10" s="217" t="s">
        <v>16</v>
      </c>
      <c r="U10" s="220" cm="1">
        <f t="array" aca="1" ref="U10" ca="1">IF($R10="Y",VLOOKUP($S10,INDIRECT($P$2),U$3,0)*INDIRECT($Q$2),VLOOKUP($S10,INDIRECT($P$2),U$3,0))</f>
        <v>27.388875440712493</v>
      </c>
      <c r="V10" s="220" cm="1">
        <f t="array" aca="1" ref="V10" ca="1">IF($R10="Y",VLOOKUP($S10,INDIRECT($P$2),V$3,0)*INDIRECT($Q$2),VLOOKUP($S10,INDIRECT($P$2),V$3,0))</f>
        <v>28.484336829162491</v>
      </c>
      <c r="W10" s="220" cm="1">
        <f t="array" aca="1" ref="W10" ca="1">IF($R10="Y",VLOOKUP($S10,INDIRECT($P$2),W$3,0)*INDIRECT($Q$2),VLOOKUP($S10,INDIRECT($P$2),W$3,0))</f>
        <v>29.62427207739999</v>
      </c>
      <c r="X10" s="220" cm="1">
        <f t="array" aca="1" ref="X10" ca="1">IF($R10="Y",VLOOKUP($S10,INDIRECT($P$2),X$3,0)*INDIRECT($Q$2),VLOOKUP($S10,INDIRECT($P$2),X$3,0))</f>
        <v>30.808681185424991</v>
      </c>
      <c r="Y10" s="220" cm="1">
        <f t="array" aca="1" ref="Y10" ca="1">IF($R10="Y",VLOOKUP($S10,INDIRECT($P$2),Y$3,0)*INDIRECT($Q$2),VLOOKUP($S10,INDIRECT($P$2),Y$3,0))</f>
        <v>32.041075247431237</v>
      </c>
      <c r="Z10" s="220" cm="1">
        <f t="array" aca="1" ref="Z10" ca="1">IF($R10="Y",VLOOKUP($S10,INDIRECT($P$2),Z$3,0)*INDIRECT($Q$2),VLOOKUP($S10,INDIRECT($P$2),Z$3,0))</f>
        <v>33.322624628149988</v>
      </c>
      <c r="AB10" s="165" t="str">
        <f>S10</f>
        <v>04450C</v>
      </c>
      <c r="AC10" s="165" t="str">
        <f t="shared" si="1"/>
        <v>CFH 1</v>
      </c>
      <c r="AD10" s="165" t="str">
        <f>T10</f>
        <v>Fire Fighter</v>
      </c>
      <c r="AE10" s="206">
        <f ca="1">ROUND(U10,3)</f>
        <v>27.388999999999999</v>
      </c>
      <c r="AF10" s="206">
        <f t="shared" ref="AF10:AJ10" ca="1" si="4">ROUND(V10,3)</f>
        <v>28.484000000000002</v>
      </c>
      <c r="AG10" s="206">
        <f t="shared" ca="1" si="4"/>
        <v>29.623999999999999</v>
      </c>
      <c r="AH10" s="206">
        <f t="shared" ca="1" si="4"/>
        <v>30.809000000000001</v>
      </c>
      <c r="AI10" s="206">
        <f t="shared" ca="1" si="4"/>
        <v>32.040999999999997</v>
      </c>
      <c r="AJ10" s="206">
        <f t="shared" ca="1" si="4"/>
        <v>33.323</v>
      </c>
    </row>
    <row r="11" spans="1:36" ht="18.75" customHeight="1">
      <c r="A11" s="180" t="s">
        <v>19</v>
      </c>
      <c r="B11" s="63" t="s">
        <v>115</v>
      </c>
      <c r="C11" s="173" t="str">
        <f t="shared" si="2"/>
        <v>CFI 1</v>
      </c>
      <c r="D11" s="59" t="s">
        <v>20</v>
      </c>
      <c r="E11" s="59">
        <v>353</v>
      </c>
      <c r="F11" s="251" t="s">
        <v>17</v>
      </c>
      <c r="G11" s="253">
        <f t="shared" ref="G11:G12" ca="1" si="5">U11*$O11</f>
        <v>2990.8904780039993</v>
      </c>
      <c r="H11" s="188">
        <f t="shared" ref="H11:H12" ca="1" si="6">V11*$O11</f>
        <v>3110.5485681269984</v>
      </c>
      <c r="I11" s="188">
        <f t="shared" ref="I11:I12" ca="1" si="7">W11*$O11</f>
        <v>3234.9817463534987</v>
      </c>
      <c r="J11" s="188">
        <f t="shared" ref="J11:J12" ca="1" si="8">X11*$O11</f>
        <v>3364.3772710404992</v>
      </c>
      <c r="K11" s="188">
        <f t="shared" ref="K11:K12" ca="1" si="9">Y11*$O11</f>
        <v>3498.9224005449987</v>
      </c>
      <c r="L11" s="189">
        <f t="shared" ref="L11:L12" ca="1" si="10">Z11*$O11</f>
        <v>3638.8980224024976</v>
      </c>
      <c r="M11" s="47"/>
      <c r="N11" s="42"/>
      <c r="O11" s="217">
        <v>80</v>
      </c>
      <c r="P11" s="219" t="s">
        <v>143</v>
      </c>
      <c r="Q11" s="219" t="s">
        <v>234</v>
      </c>
      <c r="R11" s="219" t="s">
        <v>287</v>
      </c>
      <c r="S11" s="219" t="str">
        <f t="shared" si="0"/>
        <v>04451C</v>
      </c>
      <c r="T11" s="217" t="s">
        <v>20</v>
      </c>
      <c r="U11" s="220" cm="1">
        <f t="array" aca="1" ref="U11" ca="1">IF($R11="Y",VLOOKUP($S11,INDIRECT($P$2),U$3,0)*INDIRECT($Q$2),VLOOKUP($S11,INDIRECT($P$2),U$3,0))</f>
        <v>37.386130975049994</v>
      </c>
      <c r="V11" s="220" cm="1">
        <f t="array" aca="1" ref="V11" ca="1">IF($R11="Y",VLOOKUP($S11,INDIRECT($P$2),V$3,0)*INDIRECT($Q$2),VLOOKUP($S11,INDIRECT($P$2),V$3,0))</f>
        <v>38.881857101587478</v>
      </c>
      <c r="W11" s="220" cm="1">
        <f t="array" aca="1" ref="W11" ca="1">IF($R11="Y",VLOOKUP($S11,INDIRECT($P$2),W$3,0)*INDIRECT($Q$2),VLOOKUP($S11,INDIRECT($P$2),W$3,0))</f>
        <v>40.437271829418734</v>
      </c>
      <c r="X11" s="220" cm="1">
        <f t="array" aca="1" ref="X11" ca="1">IF($R11="Y",VLOOKUP($S11,INDIRECT($P$2),X$3,0)*INDIRECT($Q$2),VLOOKUP($S11,INDIRECT($P$2),X$3,0))</f>
        <v>42.054715888006243</v>
      </c>
      <c r="Y11" s="220" cm="1">
        <f t="array" aca="1" ref="Y11" ca="1">IF($R11="Y",VLOOKUP($S11,INDIRECT($P$2),Y$3,0)*INDIRECT($Q$2),VLOOKUP($S11,INDIRECT($P$2),Y$3,0))</f>
        <v>43.736530006812487</v>
      </c>
      <c r="Z11" s="220" cm="1">
        <f t="array" aca="1" ref="Z11" ca="1">IF($R11="Y",VLOOKUP($S11,INDIRECT($P$2),Z$3,0)*INDIRECT($Q$2),VLOOKUP($S11,INDIRECT($P$2),Z$3,0))</f>
        <v>45.486225280031221</v>
      </c>
      <c r="AB11" s="165" t="str">
        <f t="shared" ref="AB11:AB12" si="11">S11</f>
        <v>04451C</v>
      </c>
      <c r="AC11" s="165" t="str">
        <f t="shared" si="1"/>
        <v>CFI 1</v>
      </c>
      <c r="AD11" s="165" t="str">
        <f t="shared" ref="AD11:AD12" si="12">T11</f>
        <v>Fire Fighter (40 hrs.)</v>
      </c>
      <c r="AE11" s="206">
        <f t="shared" ref="AE11:AE12" ca="1" si="13">ROUND(U11,3)</f>
        <v>37.386000000000003</v>
      </c>
      <c r="AF11" s="206">
        <f t="shared" ref="AF11:AF12" ca="1" si="14">ROUND(V11,3)</f>
        <v>38.881999999999998</v>
      </c>
      <c r="AG11" s="206">
        <f t="shared" ref="AG11:AG12" ca="1" si="15">ROUND(W11,3)</f>
        <v>40.436999999999998</v>
      </c>
      <c r="AH11" s="206">
        <f t="shared" ref="AH11:AH12" ca="1" si="16">ROUND(X11,3)</f>
        <v>42.055</v>
      </c>
      <c r="AI11" s="206">
        <f t="shared" ref="AI11:AI12" ca="1" si="17">ROUND(Y11,3)</f>
        <v>43.737000000000002</v>
      </c>
      <c r="AJ11" s="206">
        <f t="shared" ref="AJ11:AJ12" ca="1" si="18">ROUND(Z11,3)</f>
        <v>45.485999999999997</v>
      </c>
    </row>
    <row r="12" spans="1:36" ht="18.75" customHeight="1">
      <c r="A12" s="180" t="s">
        <v>21</v>
      </c>
      <c r="B12" s="63" t="s">
        <v>115</v>
      </c>
      <c r="C12" s="173" t="str">
        <f t="shared" si="2"/>
        <v>CFF 1</v>
      </c>
      <c r="D12" s="59" t="s">
        <v>22</v>
      </c>
      <c r="E12" s="59"/>
      <c r="F12" s="251" t="s">
        <v>17</v>
      </c>
      <c r="G12" s="253">
        <f t="shared" ca="1" si="5"/>
        <v>2990.8651981258045</v>
      </c>
      <c r="H12" s="188">
        <f t="shared" ca="1" si="6"/>
        <v>3110.489581744544</v>
      </c>
      <c r="I12" s="188">
        <f t="shared" ca="1" si="7"/>
        <v>3234.9705108520789</v>
      </c>
      <c r="J12" s="188">
        <f t="shared" ca="1" si="8"/>
        <v>3364.307985448409</v>
      </c>
      <c r="K12" s="188">
        <f t="shared" ca="1" si="9"/>
        <v>3498.8854170194913</v>
      </c>
      <c r="L12" s="189">
        <f t="shared" ca="1" si="10"/>
        <v>3638.8306093939786</v>
      </c>
      <c r="M12" s="47"/>
      <c r="N12" s="42"/>
      <c r="O12" s="217">
        <v>109.2</v>
      </c>
      <c r="P12" s="219" t="s">
        <v>144</v>
      </c>
      <c r="Q12" s="219" t="s">
        <v>148</v>
      </c>
      <c r="R12" s="219" t="s">
        <v>287</v>
      </c>
      <c r="S12" s="219" t="str">
        <f t="shared" si="0"/>
        <v>04388C</v>
      </c>
      <c r="T12" s="217" t="s">
        <v>22</v>
      </c>
      <c r="U12" s="220" cm="1">
        <f t="array" aca="1" ref="U12" ca="1">IF($R12="Y",VLOOKUP($S12,INDIRECT($P$2),U$3,0)*INDIRECT($Q$2),VLOOKUP($S12,INDIRECT($P$2),U$3,0))</f>
        <v>27.388875440712493</v>
      </c>
      <c r="V12" s="220" cm="1">
        <f t="array" aca="1" ref="V12" ca="1">IF($R12="Y",VLOOKUP($S12,INDIRECT($P$2),V$3,0)*INDIRECT($Q$2),VLOOKUP($S12,INDIRECT($P$2),V$3,0))</f>
        <v>28.484336829162491</v>
      </c>
      <c r="W12" s="220" cm="1">
        <f t="array" aca="1" ref="W12" ca="1">IF($R12="Y",VLOOKUP($S12,INDIRECT($P$2),W$3,0)*INDIRECT($Q$2),VLOOKUP($S12,INDIRECT($P$2),W$3,0))</f>
        <v>29.62427207739999</v>
      </c>
      <c r="X12" s="220" cm="1">
        <f t="array" aca="1" ref="X12" ca="1">IF($R12="Y",VLOOKUP($S12,INDIRECT($P$2),X$3,0)*INDIRECT($Q$2),VLOOKUP($S12,INDIRECT($P$2),X$3,0))</f>
        <v>30.808681185424991</v>
      </c>
      <c r="Y12" s="220" cm="1">
        <f t="array" aca="1" ref="Y12" ca="1">IF($R12="Y",VLOOKUP($S12,INDIRECT($P$2),Y$3,0)*INDIRECT($Q$2),VLOOKUP($S12,INDIRECT($P$2),Y$3,0))</f>
        <v>32.041075247431237</v>
      </c>
      <c r="Z12" s="220" cm="1">
        <f t="array" aca="1" ref="Z12" ca="1">IF($R12="Y",VLOOKUP($S12,INDIRECT($P$2),Z$3,0)*INDIRECT($Q$2),VLOOKUP($S12,INDIRECT($P$2),Z$3,0))</f>
        <v>33.322624628149988</v>
      </c>
      <c r="AB12" s="165" t="str">
        <f t="shared" si="11"/>
        <v>04388C</v>
      </c>
      <c r="AC12" s="165" t="str">
        <f t="shared" si="1"/>
        <v>CFF 1</v>
      </c>
      <c r="AD12" s="165" t="str">
        <f t="shared" si="12"/>
        <v>Fire Inspector 1</v>
      </c>
      <c r="AE12" s="206">
        <f t="shared" ca="1" si="13"/>
        <v>27.388999999999999</v>
      </c>
      <c r="AF12" s="206">
        <f t="shared" ca="1" si="14"/>
        <v>28.484000000000002</v>
      </c>
      <c r="AG12" s="206">
        <f t="shared" ca="1" si="15"/>
        <v>29.623999999999999</v>
      </c>
      <c r="AH12" s="206">
        <f t="shared" ca="1" si="16"/>
        <v>30.809000000000001</v>
      </c>
      <c r="AI12" s="206">
        <f t="shared" ca="1" si="17"/>
        <v>32.040999999999997</v>
      </c>
      <c r="AJ12" s="206">
        <f t="shared" ca="1" si="18"/>
        <v>33.323</v>
      </c>
    </row>
    <row r="13" spans="1:36" ht="18.75" customHeight="1">
      <c r="A13" s="180" t="s">
        <v>23</v>
      </c>
      <c r="B13" s="63" t="s">
        <v>115</v>
      </c>
      <c r="C13" s="173" t="str">
        <f t="shared" si="2"/>
        <v>CFF 2</v>
      </c>
      <c r="D13" s="59" t="s">
        <v>24</v>
      </c>
      <c r="E13" s="59"/>
      <c r="F13" s="251" t="s">
        <v>17</v>
      </c>
      <c r="G13" s="253">
        <f t="shared" ref="G13:G22" ca="1" si="19">U13*$O13</f>
        <v>3707.5890692090243</v>
      </c>
      <c r="H13" s="188">
        <f t="shared" ref="H13:H22" ca="1" si="20">V13*$O13</f>
        <v>3853.1576300442207</v>
      </c>
      <c r="I13" s="188">
        <f t="shared" ref="I13:I22" ca="1" si="21">W13*$O13</f>
        <v>4087.2942441356013</v>
      </c>
      <c r="J13" s="188"/>
      <c r="K13" s="188"/>
      <c r="L13" s="189"/>
      <c r="M13" s="47"/>
      <c r="N13" s="42"/>
      <c r="O13" s="217">
        <v>109.2</v>
      </c>
      <c r="P13" s="219" t="s">
        <v>144</v>
      </c>
      <c r="Q13" s="219" t="s">
        <v>150</v>
      </c>
      <c r="R13" s="219" t="s">
        <v>287</v>
      </c>
      <c r="S13" s="219" t="str">
        <f t="shared" si="0"/>
        <v>04420C</v>
      </c>
      <c r="T13" s="217" t="s">
        <v>24</v>
      </c>
      <c r="U13" s="220" cm="1">
        <f t="array" aca="1" ref="U13" ca="1">IF($R13="Y",VLOOKUP($S13,INDIRECT($P$2),U$3,0)*INDIRECT($Q$2),VLOOKUP($S13,INDIRECT($P$2),U$3,0))</f>
        <v>33.952280853562492</v>
      </c>
      <c r="V13" s="220" cm="1">
        <f t="array" aca="1" ref="V13" ca="1">IF($R13="Y",VLOOKUP($S13,INDIRECT($P$2),V$3,0)*INDIRECT($Q$2),VLOOKUP($S13,INDIRECT($P$2),V$3,0))</f>
        <v>35.285326282456232</v>
      </c>
      <c r="W13" s="220" cm="1">
        <f t="array" aca="1" ref="W13" ca="1">IF($R13="Y",VLOOKUP($S13,INDIRECT($P$2),W$3,0)*INDIRECT($Q$2),VLOOKUP($S13,INDIRECT($P$2),W$3,0))</f>
        <v>37.429434470106237</v>
      </c>
      <c r="X13" s="220"/>
      <c r="Y13" s="220"/>
      <c r="Z13" s="220"/>
      <c r="AB13" s="165" t="str">
        <f t="shared" ref="AB13:AB23" si="22">S13</f>
        <v>04420C</v>
      </c>
      <c r="AC13" s="165" t="str">
        <f t="shared" si="1"/>
        <v>CFF 2</v>
      </c>
      <c r="AD13" s="165" t="str">
        <f t="shared" ref="AD13:AD23" si="23">T13</f>
        <v>Fire Motor Operator</v>
      </c>
      <c r="AE13" s="206">
        <f t="shared" ref="AE13:AE23" ca="1" si="24">ROUND(U13,3)</f>
        <v>33.951999999999998</v>
      </c>
      <c r="AF13" s="206">
        <f t="shared" ref="AF13:AF23" ca="1" si="25">ROUND(V13,3)</f>
        <v>35.284999999999997</v>
      </c>
      <c r="AG13" s="206">
        <f t="shared" ref="AG13:AG23" ca="1" si="26">ROUND(W13,3)</f>
        <v>37.429000000000002</v>
      </c>
      <c r="AH13" s="165"/>
      <c r="AI13" s="165"/>
      <c r="AJ13" s="165"/>
    </row>
    <row r="14" spans="1:36" ht="18.75" customHeight="1">
      <c r="A14" s="180" t="s">
        <v>195</v>
      </c>
      <c r="B14" s="63" t="s">
        <v>115</v>
      </c>
      <c r="C14" s="173" t="str">
        <f t="shared" si="2"/>
        <v>CFG 2</v>
      </c>
      <c r="D14" s="59" t="s">
        <v>26</v>
      </c>
      <c r="E14" s="59"/>
      <c r="F14" s="251" t="s">
        <v>17</v>
      </c>
      <c r="G14" s="253">
        <f t="shared" ca="1" si="19"/>
        <v>3707.6218394214975</v>
      </c>
      <c r="H14" s="188">
        <f t="shared" ca="1" si="20"/>
        <v>3853.2152119889979</v>
      </c>
      <c r="I14" s="188">
        <f t="shared" ca="1" si="21"/>
        <v>4087.2881582389978</v>
      </c>
      <c r="J14" s="188"/>
      <c r="K14" s="188"/>
      <c r="L14" s="189"/>
      <c r="M14" s="47"/>
      <c r="N14" s="42"/>
      <c r="O14" s="217">
        <v>80</v>
      </c>
      <c r="P14" s="219" t="s">
        <v>143</v>
      </c>
      <c r="Q14" s="219" t="s">
        <v>151</v>
      </c>
      <c r="R14" s="219" t="s">
        <v>287</v>
      </c>
      <c r="S14" s="219" t="str">
        <f t="shared" si="0"/>
        <v>04421C</v>
      </c>
      <c r="T14" s="217" t="s">
        <v>26</v>
      </c>
      <c r="U14" s="220" cm="1">
        <f t="array" aca="1" ref="U14" ca="1">IF($R14="Y",VLOOKUP($S14,INDIRECT($P$2),U$3,0)*INDIRECT($Q$2),VLOOKUP($S14,INDIRECT($P$2),U$3,0))</f>
        <v>46.34527299276872</v>
      </c>
      <c r="V14" s="220" cm="1">
        <f t="array" aca="1" ref="V14" ca="1">IF($R14="Y",VLOOKUP($S14,INDIRECT($P$2),V$3,0)*INDIRECT($Q$2),VLOOKUP($S14,INDIRECT($P$2),V$3,0))</f>
        <v>48.165190149862475</v>
      </c>
      <c r="W14" s="220" cm="1">
        <f t="array" aca="1" ref="W14" ca="1">IF($R14="Y",VLOOKUP($S14,INDIRECT($P$2),W$3,0)*INDIRECT($Q$2),VLOOKUP($S14,INDIRECT($P$2),W$3,0))</f>
        <v>51.091101977987471</v>
      </c>
      <c r="X14" s="220"/>
      <c r="Y14" s="220"/>
      <c r="Z14" s="220"/>
      <c r="AB14" s="165" t="str">
        <f t="shared" si="22"/>
        <v>04421C</v>
      </c>
      <c r="AC14" s="165" t="str">
        <f t="shared" si="1"/>
        <v>CFG 2</v>
      </c>
      <c r="AD14" s="165" t="str">
        <f t="shared" si="23"/>
        <v>Fire Motor Operator (40 hrs.)</v>
      </c>
      <c r="AE14" s="206">
        <f t="shared" ca="1" si="24"/>
        <v>46.344999999999999</v>
      </c>
      <c r="AF14" s="206">
        <f t="shared" ca="1" si="25"/>
        <v>48.164999999999999</v>
      </c>
      <c r="AG14" s="206">
        <f t="shared" ca="1" si="26"/>
        <v>51.091000000000001</v>
      </c>
      <c r="AH14" s="165"/>
      <c r="AI14" s="165"/>
      <c r="AJ14" s="165"/>
    </row>
    <row r="15" spans="1:36" ht="18.75" customHeight="1">
      <c r="A15" s="180" t="s">
        <v>27</v>
      </c>
      <c r="B15" s="63" t="s">
        <v>115</v>
      </c>
      <c r="C15" s="173" t="str">
        <f t="shared" si="2"/>
        <v>CFF 2</v>
      </c>
      <c r="D15" s="59" t="s">
        <v>28</v>
      </c>
      <c r="E15" s="59"/>
      <c r="F15" s="251" t="s">
        <v>17</v>
      </c>
      <c r="G15" s="253">
        <f t="shared" ca="1" si="19"/>
        <v>3707.5890692090243</v>
      </c>
      <c r="H15" s="188">
        <f t="shared" ca="1" si="20"/>
        <v>3853.1576300442207</v>
      </c>
      <c r="I15" s="188">
        <f t="shared" ca="1" si="21"/>
        <v>4087.2942441356013</v>
      </c>
      <c r="J15" s="188"/>
      <c r="K15" s="188"/>
      <c r="L15" s="189"/>
      <c r="M15" s="47"/>
      <c r="N15" s="42"/>
      <c r="O15" s="217">
        <v>109.2</v>
      </c>
      <c r="P15" s="219" t="s">
        <v>144</v>
      </c>
      <c r="Q15" s="219" t="s">
        <v>150</v>
      </c>
      <c r="R15" s="219" t="s">
        <v>287</v>
      </c>
      <c r="S15" s="219" t="str">
        <f t="shared" si="0"/>
        <v>04389C</v>
      </c>
      <c r="T15" s="217" t="s">
        <v>28</v>
      </c>
      <c r="U15" s="220" cm="1">
        <f t="array" aca="1" ref="U15" ca="1">IF($R15="Y",VLOOKUP($S15,INDIRECT($P$2),U$3,0)*INDIRECT($Q$2),VLOOKUP($S15,INDIRECT($P$2),U$3,0))</f>
        <v>33.952280853562492</v>
      </c>
      <c r="V15" s="220" cm="1">
        <f t="array" aca="1" ref="V15" ca="1">IF($R15="Y",VLOOKUP($S15,INDIRECT($P$2),V$3,0)*INDIRECT($Q$2),VLOOKUP($S15,INDIRECT($P$2),V$3,0))</f>
        <v>35.285326282456232</v>
      </c>
      <c r="W15" s="220" cm="1">
        <f t="array" aca="1" ref="W15" ca="1">IF($R15="Y",VLOOKUP($S15,INDIRECT($P$2),W$3,0)*INDIRECT($Q$2),VLOOKUP($S15,INDIRECT($P$2),W$3,0))</f>
        <v>37.429434470106237</v>
      </c>
      <c r="X15" s="220"/>
      <c r="Y15" s="220"/>
      <c r="Z15" s="220"/>
      <c r="AB15" s="165" t="str">
        <f t="shared" si="22"/>
        <v>04389C</v>
      </c>
      <c r="AC15" s="165" t="str">
        <f t="shared" si="1"/>
        <v>CFF 2</v>
      </c>
      <c r="AD15" s="165" t="str">
        <f t="shared" si="23"/>
        <v>Fire Inspector 2</v>
      </c>
      <c r="AE15" s="206">
        <f t="shared" ca="1" si="24"/>
        <v>33.951999999999998</v>
      </c>
      <c r="AF15" s="206">
        <f t="shared" ca="1" si="25"/>
        <v>35.284999999999997</v>
      </c>
      <c r="AG15" s="206">
        <f t="shared" ca="1" si="26"/>
        <v>37.429000000000002</v>
      </c>
      <c r="AH15" s="165"/>
      <c r="AI15" s="165"/>
      <c r="AJ15" s="165"/>
    </row>
    <row r="16" spans="1:36" ht="18.75" customHeight="1">
      <c r="A16" s="180" t="s">
        <v>29</v>
      </c>
      <c r="B16" s="63" t="s">
        <v>115</v>
      </c>
      <c r="C16" s="173" t="str">
        <f t="shared" si="2"/>
        <v>CFF 3</v>
      </c>
      <c r="D16" s="59" t="s">
        <v>30</v>
      </c>
      <c r="E16" s="59"/>
      <c r="F16" s="251" t="s">
        <v>17</v>
      </c>
      <c r="G16" s="253">
        <f t="shared" ca="1" si="19"/>
        <v>4202.5732975801557</v>
      </c>
      <c r="H16" s="188">
        <f t="shared" ca="1" si="20"/>
        <v>4369.2294901430159</v>
      </c>
      <c r="I16" s="188">
        <f t="shared" ca="1" si="21"/>
        <v>4636.5950996840456</v>
      </c>
      <c r="J16" s="188"/>
      <c r="K16" s="188"/>
      <c r="L16" s="189"/>
      <c r="M16" s="47"/>
      <c r="N16" s="42"/>
      <c r="O16" s="217">
        <v>109.2</v>
      </c>
      <c r="P16" s="219" t="s">
        <v>144</v>
      </c>
      <c r="Q16" s="219" t="s">
        <v>152</v>
      </c>
      <c r="R16" s="219" t="s">
        <v>287</v>
      </c>
      <c r="S16" s="219" t="str">
        <f t="shared" si="0"/>
        <v>04370C</v>
      </c>
      <c r="T16" s="217" t="s">
        <v>30</v>
      </c>
      <c r="U16" s="220" cm="1">
        <f t="array" aca="1" ref="U16" ca="1">IF($R16="Y",VLOOKUP($S16,INDIRECT($P$2),U$3,0)*INDIRECT($Q$2),VLOOKUP($S16,INDIRECT($P$2),U$3,0))</f>
        <v>38.485103457693732</v>
      </c>
      <c r="V16" s="220" cm="1">
        <f t="array" aca="1" ref="V16" ca="1">IF($R16="Y",VLOOKUP($S16,INDIRECT($P$2),V$3,0)*INDIRECT($Q$2),VLOOKUP($S16,INDIRECT($P$2),V$3,0))</f>
        <v>40.011259067243735</v>
      </c>
      <c r="W16" s="220" cm="1">
        <f t="array" aca="1" ref="W16" ca="1">IF($R16="Y",VLOOKUP($S16,INDIRECT($P$2),W$3,0)*INDIRECT($Q$2),VLOOKUP($S16,INDIRECT($P$2),W$3,0))</f>
        <v>42.459662085018728</v>
      </c>
      <c r="X16" s="220"/>
      <c r="Y16" s="220"/>
      <c r="Z16" s="220"/>
      <c r="AB16" s="165" t="str">
        <f t="shared" si="22"/>
        <v>04370C</v>
      </c>
      <c r="AC16" s="165" t="str">
        <f t="shared" si="1"/>
        <v>CFF 3</v>
      </c>
      <c r="AD16" s="165" t="str">
        <f t="shared" si="23"/>
        <v>Fire Captain</v>
      </c>
      <c r="AE16" s="206">
        <f t="shared" ca="1" si="24"/>
        <v>38.484999999999999</v>
      </c>
      <c r="AF16" s="206">
        <f t="shared" ca="1" si="25"/>
        <v>40.011000000000003</v>
      </c>
      <c r="AG16" s="206">
        <f t="shared" ca="1" si="26"/>
        <v>42.46</v>
      </c>
      <c r="AH16" s="165"/>
      <c r="AI16" s="165"/>
      <c r="AJ16" s="165"/>
    </row>
    <row r="17" spans="1:36" ht="18.75" customHeight="1">
      <c r="A17" s="180" t="s">
        <v>31</v>
      </c>
      <c r="B17" s="63" t="s">
        <v>115</v>
      </c>
      <c r="C17" s="173" t="str">
        <f t="shared" si="2"/>
        <v>CFG 3</v>
      </c>
      <c r="D17" s="59" t="s">
        <v>32</v>
      </c>
      <c r="E17" s="59"/>
      <c r="F17" s="251" t="s">
        <v>17</v>
      </c>
      <c r="G17" s="253">
        <f t="shared" ca="1" si="19"/>
        <v>4202.5456769724988</v>
      </c>
      <c r="H17" s="188">
        <f t="shared" ca="1" si="20"/>
        <v>4369.2056147024978</v>
      </c>
      <c r="I17" s="188">
        <f t="shared" ca="1" si="21"/>
        <v>4636.6105484984982</v>
      </c>
      <c r="J17" s="188"/>
      <c r="K17" s="188"/>
      <c r="L17" s="189"/>
      <c r="M17" s="47"/>
      <c r="N17" s="42"/>
      <c r="O17" s="217">
        <v>80</v>
      </c>
      <c r="P17" s="219" t="s">
        <v>143</v>
      </c>
      <c r="Q17" s="219" t="s">
        <v>153</v>
      </c>
      <c r="R17" s="219" t="s">
        <v>287</v>
      </c>
      <c r="S17" s="219" t="str">
        <f t="shared" si="0"/>
        <v>04371C</v>
      </c>
      <c r="T17" s="217" t="s">
        <v>32</v>
      </c>
      <c r="U17" s="220" cm="1">
        <f t="array" aca="1" ref="U17" ca="1">IF($R17="Y",VLOOKUP($S17,INDIRECT($P$2),U$3,0)*INDIRECT($Q$2),VLOOKUP($S17,INDIRECT($P$2),U$3,0))</f>
        <v>52.531820962156232</v>
      </c>
      <c r="V17" s="220" cm="1">
        <f t="array" aca="1" ref="V17" ca="1">IF($R17="Y",VLOOKUP($S17,INDIRECT($P$2),V$3,0)*INDIRECT($Q$2),VLOOKUP($S17,INDIRECT($P$2),V$3,0))</f>
        <v>54.615070183781221</v>
      </c>
      <c r="W17" s="220" cm="1">
        <f t="array" aca="1" ref="W17" ca="1">IF($R17="Y",VLOOKUP($S17,INDIRECT($P$2),W$3,0)*INDIRECT($Q$2),VLOOKUP($S17,INDIRECT($P$2),W$3,0))</f>
        <v>57.957631856231231</v>
      </c>
      <c r="X17" s="220"/>
      <c r="Y17" s="220"/>
      <c r="Z17" s="220"/>
      <c r="AB17" s="165" t="str">
        <f t="shared" si="22"/>
        <v>04371C</v>
      </c>
      <c r="AC17" s="165" t="str">
        <f t="shared" si="1"/>
        <v>CFG 3</v>
      </c>
      <c r="AD17" s="165" t="str">
        <f t="shared" si="23"/>
        <v>Fire Captain (40 hrs.)</v>
      </c>
      <c r="AE17" s="206">
        <f t="shared" ca="1" si="24"/>
        <v>52.531999999999996</v>
      </c>
      <c r="AF17" s="206">
        <f t="shared" ca="1" si="25"/>
        <v>54.615000000000002</v>
      </c>
      <c r="AG17" s="206">
        <f t="shared" ca="1" si="26"/>
        <v>57.957999999999998</v>
      </c>
      <c r="AH17" s="165"/>
      <c r="AI17" s="165"/>
      <c r="AJ17" s="165"/>
    </row>
    <row r="18" spans="1:36" ht="18.75" customHeight="1">
      <c r="A18" s="180" t="s">
        <v>33</v>
      </c>
      <c r="B18" s="63" t="s">
        <v>115</v>
      </c>
      <c r="C18" s="173" t="str">
        <f t="shared" si="2"/>
        <v>CFF 3</v>
      </c>
      <c r="D18" s="59" t="s">
        <v>34</v>
      </c>
      <c r="E18" s="59"/>
      <c r="F18" s="251" t="s">
        <v>17</v>
      </c>
      <c r="G18" s="253">
        <f t="shared" ca="1" si="19"/>
        <v>4202.5732975801557</v>
      </c>
      <c r="H18" s="188">
        <f t="shared" ca="1" si="20"/>
        <v>4369.2294901430159</v>
      </c>
      <c r="I18" s="188">
        <f t="shared" ca="1" si="21"/>
        <v>4636.5950996840456</v>
      </c>
      <c r="J18" s="188"/>
      <c r="K18" s="188"/>
      <c r="L18" s="189"/>
      <c r="M18" s="47"/>
      <c r="N18" s="42"/>
      <c r="O18" s="217">
        <v>109.2</v>
      </c>
      <c r="P18" s="219" t="s">
        <v>144</v>
      </c>
      <c r="Q18" s="219" t="s">
        <v>152</v>
      </c>
      <c r="R18" s="219" t="s">
        <v>287</v>
      </c>
      <c r="S18" s="219" t="str">
        <f t="shared" si="0"/>
        <v>04400C</v>
      </c>
      <c r="T18" s="217" t="s">
        <v>34</v>
      </c>
      <c r="U18" s="220" cm="1">
        <f t="array" aca="1" ref="U18" ca="1">IF($R18="Y",VLOOKUP($S18,INDIRECT($P$2),U$3,0)*INDIRECT($Q$2),VLOOKUP($S18,INDIRECT($P$2),U$3,0))</f>
        <v>38.485103457693732</v>
      </c>
      <c r="V18" s="220" cm="1">
        <f t="array" aca="1" ref="V18" ca="1">IF($R18="Y",VLOOKUP($S18,INDIRECT($P$2),V$3,0)*INDIRECT($Q$2),VLOOKUP($S18,INDIRECT($P$2),V$3,0))</f>
        <v>40.011259067243735</v>
      </c>
      <c r="W18" s="220" cm="1">
        <f t="array" aca="1" ref="W18" ca="1">IF($R18="Y",VLOOKUP($S18,INDIRECT($P$2),W$3,0)*INDIRECT($Q$2),VLOOKUP($S18,INDIRECT($P$2),W$3,0))</f>
        <v>42.459662085018728</v>
      </c>
      <c r="X18" s="220"/>
      <c r="Y18" s="220"/>
      <c r="Z18" s="220"/>
      <c r="AB18" s="165" t="str">
        <f t="shared" si="22"/>
        <v>04400C</v>
      </c>
      <c r="AC18" s="165" t="str">
        <f t="shared" si="1"/>
        <v>CFF 3</v>
      </c>
      <c r="AD18" s="165" t="str">
        <f t="shared" si="23"/>
        <v>Fire Investigator</v>
      </c>
      <c r="AE18" s="206">
        <f t="shared" ca="1" si="24"/>
        <v>38.484999999999999</v>
      </c>
      <c r="AF18" s="206">
        <f t="shared" ca="1" si="25"/>
        <v>40.011000000000003</v>
      </c>
      <c r="AG18" s="206">
        <f t="shared" ca="1" si="26"/>
        <v>42.46</v>
      </c>
      <c r="AH18" s="165"/>
      <c r="AI18" s="165"/>
      <c r="AJ18" s="165"/>
    </row>
    <row r="19" spans="1:36" ht="18.75" customHeight="1">
      <c r="A19" s="180" t="s">
        <v>35</v>
      </c>
      <c r="B19" s="63" t="s">
        <v>115</v>
      </c>
      <c r="C19" s="173" t="str">
        <f t="shared" si="2"/>
        <v>CFG 3</v>
      </c>
      <c r="D19" s="59" t="s">
        <v>36</v>
      </c>
      <c r="E19" s="59"/>
      <c r="F19" s="251" t="s">
        <v>17</v>
      </c>
      <c r="G19" s="253">
        <f t="shared" ca="1" si="19"/>
        <v>4202.5456769724988</v>
      </c>
      <c r="H19" s="188">
        <f t="shared" ca="1" si="20"/>
        <v>4369.2056147024978</v>
      </c>
      <c r="I19" s="188">
        <f t="shared" ca="1" si="21"/>
        <v>4636.6105484984982</v>
      </c>
      <c r="J19" s="188"/>
      <c r="K19" s="188"/>
      <c r="L19" s="189"/>
      <c r="M19" s="47"/>
      <c r="N19" s="42"/>
      <c r="O19" s="217">
        <v>80</v>
      </c>
      <c r="P19" s="219" t="s">
        <v>143</v>
      </c>
      <c r="Q19" s="219" t="s">
        <v>153</v>
      </c>
      <c r="R19" s="219" t="s">
        <v>287</v>
      </c>
      <c r="S19" s="219" t="str">
        <f t="shared" si="0"/>
        <v>04401C</v>
      </c>
      <c r="T19" s="217" t="s">
        <v>36</v>
      </c>
      <c r="U19" s="220" cm="1">
        <f t="array" aca="1" ref="U19" ca="1">IF($R19="Y",VLOOKUP($S19,INDIRECT($P$2),U$3,0)*INDIRECT($Q$2),VLOOKUP($S19,INDIRECT($P$2),U$3,0))</f>
        <v>52.531820962156232</v>
      </c>
      <c r="V19" s="220" cm="1">
        <f t="array" aca="1" ref="V19" ca="1">IF($R19="Y",VLOOKUP($S19,INDIRECT($P$2),V$3,0)*INDIRECT($Q$2),VLOOKUP($S19,INDIRECT($P$2),V$3,0))</f>
        <v>54.615070183781221</v>
      </c>
      <c r="W19" s="220" cm="1">
        <f t="array" aca="1" ref="W19" ca="1">IF($R19="Y",VLOOKUP($S19,INDIRECT($P$2),W$3,0)*INDIRECT($Q$2),VLOOKUP($S19,INDIRECT($P$2),W$3,0))</f>
        <v>57.957631856231231</v>
      </c>
      <c r="X19" s="220"/>
      <c r="Y19" s="220"/>
      <c r="Z19" s="220"/>
      <c r="AB19" s="165" t="str">
        <f t="shared" si="22"/>
        <v>04401C</v>
      </c>
      <c r="AC19" s="165" t="str">
        <f t="shared" si="1"/>
        <v>CFG 3</v>
      </c>
      <c r="AD19" s="165" t="str">
        <f t="shared" si="23"/>
        <v>Fire Investigator (40 hrs.)</v>
      </c>
      <c r="AE19" s="206">
        <f t="shared" ca="1" si="24"/>
        <v>52.531999999999996</v>
      </c>
      <c r="AF19" s="206">
        <f t="shared" ca="1" si="25"/>
        <v>54.615000000000002</v>
      </c>
      <c r="AG19" s="206">
        <f t="shared" ca="1" si="26"/>
        <v>57.957999999999998</v>
      </c>
      <c r="AH19" s="165"/>
      <c r="AI19" s="165"/>
      <c r="AJ19" s="165"/>
    </row>
    <row r="20" spans="1:36" ht="18.75" customHeight="1">
      <c r="A20" s="180" t="s">
        <v>37</v>
      </c>
      <c r="B20" s="63" t="s">
        <v>115</v>
      </c>
      <c r="C20" s="173" t="str">
        <f t="shared" si="2"/>
        <v>CFF 3</v>
      </c>
      <c r="D20" s="59" t="s">
        <v>38</v>
      </c>
      <c r="E20" s="59"/>
      <c r="F20" s="251" t="s">
        <v>17</v>
      </c>
      <c r="G20" s="253">
        <f t="shared" ca="1" si="19"/>
        <v>4202.5732975801557</v>
      </c>
      <c r="H20" s="188">
        <f t="shared" ca="1" si="20"/>
        <v>4369.2294901430159</v>
      </c>
      <c r="I20" s="188">
        <f t="shared" ca="1" si="21"/>
        <v>4636.5950996840456</v>
      </c>
      <c r="J20" s="188"/>
      <c r="K20" s="188"/>
      <c r="L20" s="189"/>
      <c r="M20" s="47"/>
      <c r="N20" s="42"/>
      <c r="O20" s="217">
        <v>109.2</v>
      </c>
      <c r="P20" s="219" t="s">
        <v>144</v>
      </c>
      <c r="Q20" s="219" t="s">
        <v>152</v>
      </c>
      <c r="R20" s="219" t="s">
        <v>287</v>
      </c>
      <c r="S20" s="219" t="str">
        <f t="shared" si="0"/>
        <v>04390C</v>
      </c>
      <c r="T20" s="217" t="s">
        <v>38</v>
      </c>
      <c r="U20" s="220" cm="1">
        <f t="array" aca="1" ref="U20" ca="1">IF($R20="Y",VLOOKUP($S20,INDIRECT($P$2),U$3,0)*INDIRECT($Q$2),VLOOKUP($S20,INDIRECT($P$2),U$3,0))</f>
        <v>38.485103457693732</v>
      </c>
      <c r="V20" s="220" cm="1">
        <f t="array" aca="1" ref="V20" ca="1">IF($R20="Y",VLOOKUP($S20,INDIRECT($P$2),V$3,0)*INDIRECT($Q$2),VLOOKUP($S20,INDIRECT($P$2),V$3,0))</f>
        <v>40.011259067243735</v>
      </c>
      <c r="W20" s="220" cm="1">
        <f t="array" aca="1" ref="W20" ca="1">IF($R20="Y",VLOOKUP($S20,INDIRECT($P$2),W$3,0)*INDIRECT($Q$2),VLOOKUP($S20,INDIRECT($P$2),W$3,0))</f>
        <v>42.459662085018728</v>
      </c>
      <c r="X20" s="220"/>
      <c r="Y20" s="220"/>
      <c r="Z20" s="220"/>
      <c r="AB20" s="165" t="str">
        <f t="shared" si="22"/>
        <v>04390C</v>
      </c>
      <c r="AC20" s="165" t="str">
        <f t="shared" si="1"/>
        <v>CFF 3</v>
      </c>
      <c r="AD20" s="165" t="str">
        <f t="shared" si="23"/>
        <v>Fire Inspector 3</v>
      </c>
      <c r="AE20" s="206">
        <f t="shared" ca="1" si="24"/>
        <v>38.484999999999999</v>
      </c>
      <c r="AF20" s="206">
        <f t="shared" ca="1" si="25"/>
        <v>40.011000000000003</v>
      </c>
      <c r="AG20" s="206">
        <f t="shared" ca="1" si="26"/>
        <v>42.46</v>
      </c>
      <c r="AH20" s="165"/>
      <c r="AI20" s="165"/>
      <c r="AJ20" s="165"/>
    </row>
    <row r="21" spans="1:36" ht="18.75" customHeight="1">
      <c r="A21" s="180" t="s">
        <v>41</v>
      </c>
      <c r="B21" s="63" t="s">
        <v>115</v>
      </c>
      <c r="C21" s="173" t="str">
        <f t="shared" si="2"/>
        <v>CFF 4</v>
      </c>
      <c r="D21" s="65" t="s">
        <v>113</v>
      </c>
      <c r="E21" s="59"/>
      <c r="F21" s="251" t="s">
        <v>17</v>
      </c>
      <c r="G21" s="253">
        <f t="shared" ca="1" si="19"/>
        <v>4301.2378532998864</v>
      </c>
      <c r="H21" s="188">
        <f t="shared" ca="1" si="20"/>
        <v>4374.0860356318108</v>
      </c>
      <c r="I21" s="188">
        <f t="shared" ca="1" si="21"/>
        <v>4448.4678639075655</v>
      </c>
      <c r="J21" s="188">
        <f t="shared" ref="J21:J22" ca="1" si="27">X21*$O21</f>
        <v>4522.8496921833203</v>
      </c>
      <c r="K21" s="188">
        <f t="shared" ref="K21:K22" ca="1" si="28">Y21*$O21</f>
        <v>4798.7781582440675</v>
      </c>
      <c r="L21" s="189"/>
      <c r="M21" s="47"/>
      <c r="N21" s="42"/>
      <c r="O21" s="217">
        <v>109.2</v>
      </c>
      <c r="P21" s="219" t="s">
        <v>144</v>
      </c>
      <c r="Q21" s="219" t="s">
        <v>154</v>
      </c>
      <c r="R21" s="219" t="s">
        <v>287</v>
      </c>
      <c r="S21" s="219" t="str">
        <f t="shared" si="0"/>
        <v>04436C</v>
      </c>
      <c r="T21" s="221" t="s">
        <v>113</v>
      </c>
      <c r="U21" s="220" cm="1">
        <f t="array" aca="1" ref="U21" ca="1">IF($R21="Y",VLOOKUP($S21,INDIRECT($P$2),U$3,0)*INDIRECT($Q$2),VLOOKUP($S21,INDIRECT($P$2),U$3,0))</f>
        <v>39.388625030218741</v>
      </c>
      <c r="V21" s="220" cm="1">
        <f t="array" aca="1" ref="V21" ca="1">IF($R21="Y",VLOOKUP($S21,INDIRECT($P$2),V$3,0)*INDIRECT($Q$2),VLOOKUP($S21,INDIRECT($P$2),V$3,0))</f>
        <v>40.055732927031229</v>
      </c>
      <c r="W21" s="220" cm="1">
        <f t="array" aca="1" ref="W21" ca="1">IF($R21="Y",VLOOKUP($S21,INDIRECT($P$2),W$3,0)*INDIRECT($Q$2),VLOOKUP($S21,INDIRECT($P$2),W$3,0))</f>
        <v>40.73688520061873</v>
      </c>
      <c r="X21" s="220" cm="1">
        <f t="array" aca="1" ref="X21" ca="1">IF($R21="Y",VLOOKUP($S21,INDIRECT($P$2),X$3,0)*INDIRECT($Q$2),VLOOKUP($S21,INDIRECT($P$2),X$3,0))</f>
        <v>41.41803747420623</v>
      </c>
      <c r="Y21" s="220" cm="1">
        <f t="array" aca="1" ref="Y21" ca="1">IF($R21="Y",VLOOKUP($S21,INDIRECT($P$2),Y$3,0)*INDIRECT($Q$2),VLOOKUP($S21,INDIRECT($P$2),Y$3,0))</f>
        <v>43.944854928974976</v>
      </c>
      <c r="Z21" s="220"/>
      <c r="AB21" s="165" t="str">
        <f t="shared" si="22"/>
        <v>04436C</v>
      </c>
      <c r="AC21" s="165" t="str">
        <f t="shared" si="1"/>
        <v>CFF 4</v>
      </c>
      <c r="AD21" s="165" t="str">
        <f t="shared" si="23"/>
        <v xml:space="preserve">Fire Staff Captain </v>
      </c>
      <c r="AE21" s="206">
        <f t="shared" ca="1" si="24"/>
        <v>39.389000000000003</v>
      </c>
      <c r="AF21" s="206">
        <f t="shared" ca="1" si="25"/>
        <v>40.055999999999997</v>
      </c>
      <c r="AG21" s="206">
        <f t="shared" ca="1" si="26"/>
        <v>40.737000000000002</v>
      </c>
      <c r="AH21" s="206">
        <f t="shared" ref="AH21:AH23" ca="1" si="29">ROUND(X21,3)</f>
        <v>41.417999999999999</v>
      </c>
      <c r="AI21" s="165"/>
      <c r="AJ21" s="165"/>
    </row>
    <row r="22" spans="1:36" ht="18.75" customHeight="1" thickBot="1">
      <c r="A22" s="181" t="s">
        <v>39</v>
      </c>
      <c r="B22" s="182" t="s">
        <v>115</v>
      </c>
      <c r="C22" s="182" t="str">
        <f t="shared" si="2"/>
        <v>CFG 4</v>
      </c>
      <c r="D22" s="183" t="s">
        <v>42</v>
      </c>
      <c r="E22" s="184"/>
      <c r="F22" s="252" t="s">
        <v>17</v>
      </c>
      <c r="G22" s="254">
        <f t="shared" ca="1" si="19"/>
        <v>4301.2308311114984</v>
      </c>
      <c r="H22" s="190">
        <f t="shared" ca="1" si="20"/>
        <v>4374.0743319844987</v>
      </c>
      <c r="I22" s="190">
        <f t="shared" ca="1" si="21"/>
        <v>4448.5095288919983</v>
      </c>
      <c r="J22" s="190">
        <f t="shared" ca="1" si="27"/>
        <v>4522.8510966209979</v>
      </c>
      <c r="K22" s="190">
        <f t="shared" ca="1" si="28"/>
        <v>4798.7762856604977</v>
      </c>
      <c r="L22" s="191"/>
      <c r="M22" s="47"/>
      <c r="N22" s="42"/>
      <c r="O22" s="217">
        <v>80</v>
      </c>
      <c r="P22" s="219" t="s">
        <v>143</v>
      </c>
      <c r="Q22" s="219" t="s">
        <v>155</v>
      </c>
      <c r="R22" s="219" t="s">
        <v>287</v>
      </c>
      <c r="S22" s="219" t="str">
        <f t="shared" si="0"/>
        <v>04435C</v>
      </c>
      <c r="T22" s="217" t="s">
        <v>42</v>
      </c>
      <c r="U22" s="220" cm="1">
        <f t="array" aca="1" ref="U22" ca="1">IF($R22="Y",VLOOKUP($S22,INDIRECT($P$2),U$3,0)*INDIRECT($Q$2),VLOOKUP($S22,INDIRECT($P$2),U$3,0))</f>
        <v>53.765385388893733</v>
      </c>
      <c r="V22" s="220" cm="1">
        <f t="array" aca="1" ref="V22" ca="1">IF($R22="Y",VLOOKUP($S22,INDIRECT($P$2),V$3,0)*INDIRECT($Q$2),VLOOKUP($S22,INDIRECT($P$2),V$3,0))</f>
        <v>54.67592914980623</v>
      </c>
      <c r="W22" s="220" cm="1">
        <f t="array" aca="1" ref="W22" ca="1">IF($R22="Y",VLOOKUP($S22,INDIRECT($P$2),W$3,0)*INDIRECT($Q$2),VLOOKUP($S22,INDIRECT($P$2),W$3,0))</f>
        <v>55.606369111149974</v>
      </c>
      <c r="X22" s="220" cm="1">
        <f t="array" aca="1" ref="X22" ca="1">IF($R22="Y",VLOOKUP($S22,INDIRECT($P$2),X$3,0)*INDIRECT($Q$2),VLOOKUP($S22,INDIRECT($P$2),X$3,0))</f>
        <v>56.535638707762473</v>
      </c>
      <c r="Y22" s="220" cm="1">
        <f t="array" aca="1" ref="Y22" ca="1">IF($R22="Y",VLOOKUP($S22,INDIRECT($P$2),Y$3,0)*INDIRECT($Q$2),VLOOKUP($S22,INDIRECT($P$2),Y$3,0))</f>
        <v>59.984703570756224</v>
      </c>
      <c r="Z22" s="220"/>
      <c r="AB22" s="165" t="str">
        <f t="shared" si="22"/>
        <v>04435C</v>
      </c>
      <c r="AC22" s="165" t="str">
        <f t="shared" si="1"/>
        <v>CFG 4</v>
      </c>
      <c r="AD22" s="165" t="str">
        <f t="shared" si="23"/>
        <v>Fire Staff Captain (40 hrs.)</v>
      </c>
      <c r="AE22" s="206">
        <f t="shared" ca="1" si="24"/>
        <v>53.765000000000001</v>
      </c>
      <c r="AF22" s="206">
        <f t="shared" ca="1" si="25"/>
        <v>54.676000000000002</v>
      </c>
      <c r="AG22" s="206">
        <f t="shared" ca="1" si="26"/>
        <v>55.606000000000002</v>
      </c>
      <c r="AH22" s="206">
        <f t="shared" ca="1" si="29"/>
        <v>56.536000000000001</v>
      </c>
      <c r="AI22" s="165"/>
      <c r="AJ22" s="165"/>
    </row>
    <row r="23" spans="1:36" ht="18.75" customHeight="1">
      <c r="A23"/>
      <c r="B23"/>
      <c r="C23"/>
      <c r="D23"/>
      <c r="E23"/>
      <c r="F23"/>
      <c r="G23"/>
      <c r="H23"/>
      <c r="I23"/>
      <c r="J23"/>
      <c r="K23"/>
      <c r="L23"/>
      <c r="M23" s="47"/>
      <c r="N23" s="42"/>
      <c r="O23" s="217">
        <v>109.2</v>
      </c>
      <c r="P23" s="219" t="s">
        <v>284</v>
      </c>
      <c r="Q23" s="219" t="s">
        <v>235</v>
      </c>
      <c r="R23" s="219" t="s">
        <v>287</v>
      </c>
      <c r="S23" s="219" t="s">
        <v>280</v>
      </c>
      <c r="T23" s="217" t="s">
        <v>298</v>
      </c>
      <c r="U23" s="220" cm="1">
        <f t="array" aca="1" ref="U23" ca="1">IF($R23="Y",VLOOKUP($S23,INDIRECT($P$2),U$3,0)*INDIRECT($Q$2),VLOOKUP($S23,INDIRECT($P$2),U$3,0))</f>
        <v>27.388875440712493</v>
      </c>
      <c r="V23" s="220" cm="1">
        <f t="array" aca="1" ref="V23" ca="1">IF($R23="Y",VLOOKUP($S23,INDIRECT($P$2),V$3,0)*INDIRECT($Q$2),VLOOKUP($S23,INDIRECT($P$2),V$3,0))</f>
        <v>28.484336829162491</v>
      </c>
      <c r="W23" s="220" cm="1">
        <f t="array" aca="1" ref="W23" ca="1">IF($R23="Y",VLOOKUP($S23,INDIRECT($P$2),W$3,0)*INDIRECT($Q$2),VLOOKUP($S23,INDIRECT($P$2),W$3,0))</f>
        <v>29.62427207739999</v>
      </c>
      <c r="X23" s="220" cm="1">
        <f t="array" aca="1" ref="X23" ca="1">IF($R23="Y",VLOOKUP($S23,INDIRECT($P$2),X$3,0)*INDIRECT($Q$2),VLOOKUP($S23,INDIRECT($P$2),X$3,0))</f>
        <v>30.808681185424991</v>
      </c>
      <c r="Y23" s="220" cm="1">
        <f t="array" aca="1" ref="Y23" ca="1">IF($R23="Y",VLOOKUP($S23,INDIRECT($P$2),Y$3,0)*INDIRECT($Q$2),VLOOKUP($S23,INDIRECT($P$2),Y$3,0))</f>
        <v>32.041075247431237</v>
      </c>
      <c r="Z23" s="220" cm="1">
        <f t="array" aca="1" ref="Z23" ca="1">IF($R23="Y",VLOOKUP($S23,INDIRECT($P$2),Z$3,0)*INDIRECT($Q$2),VLOOKUP($S23,INDIRECT($P$2),Z$3,0))</f>
        <v>33.322624628149988</v>
      </c>
      <c r="AB23" s="165" t="str">
        <f t="shared" si="22"/>
        <v>04452C</v>
      </c>
      <c r="AC23" s="165" t="str">
        <f>Q23</f>
        <v>CFH 1</v>
      </c>
      <c r="AD23" s="165" t="str">
        <f t="shared" si="23"/>
        <v>Firerighter Bell Curve-C*</v>
      </c>
      <c r="AE23" s="206">
        <f t="shared" ca="1" si="24"/>
        <v>27.388999999999999</v>
      </c>
      <c r="AF23" s="206">
        <f t="shared" ca="1" si="25"/>
        <v>28.484000000000002</v>
      </c>
      <c r="AG23" s="206">
        <f t="shared" ca="1" si="26"/>
        <v>29.623999999999999</v>
      </c>
      <c r="AH23" s="206">
        <f t="shared" ca="1" si="29"/>
        <v>30.809000000000001</v>
      </c>
      <c r="AI23" s="206">
        <f t="shared" ref="AI23" ca="1" si="30">ROUND(Y23,3)</f>
        <v>32.040999999999997</v>
      </c>
      <c r="AJ23" s="206">
        <f t="shared" ref="AJ23" ca="1" si="31">ROUND(Z23,3)</f>
        <v>33.323</v>
      </c>
    </row>
    <row r="24" spans="1:36" ht="27.75" customHeight="1">
      <c r="A24" s="41" t="s">
        <v>303</v>
      </c>
      <c r="C24" s="46"/>
      <c r="G24" s="46"/>
      <c r="H24" s="46"/>
      <c r="I24" s="46"/>
      <c r="J24" s="46"/>
      <c r="K24" s="46"/>
      <c r="L24" s="46"/>
      <c r="M24" s="46"/>
      <c r="T24" s="211" t="s">
        <v>299</v>
      </c>
      <c r="AD24" s="205" t="s">
        <v>299</v>
      </c>
    </row>
    <row r="25" spans="1:36" ht="17.25" customHeight="1">
      <c r="A25" s="50" t="s">
        <v>50</v>
      </c>
      <c r="C25" s="46"/>
      <c r="G25" s="46"/>
      <c r="H25" s="46"/>
      <c r="I25" s="46"/>
      <c r="J25" s="46"/>
      <c r="K25" s="46"/>
      <c r="L25" s="46"/>
      <c r="M25" s="46"/>
    </row>
    <row r="26" spans="1:36" ht="17.25" customHeight="1">
      <c r="A26" s="42" t="s">
        <v>51</v>
      </c>
      <c r="C26" s="46"/>
      <c r="G26" s="46"/>
      <c r="H26" s="46"/>
      <c r="I26" s="46"/>
      <c r="J26" s="46"/>
      <c r="K26" s="46"/>
      <c r="L26" s="46"/>
      <c r="M26" s="46"/>
    </row>
    <row r="27" spans="1:36" ht="17.25" customHeight="1">
      <c r="A27" s="50" t="s">
        <v>52</v>
      </c>
      <c r="B27" s="46"/>
      <c r="C27" s="46"/>
    </row>
    <row r="28" spans="1:36" ht="17.25" customHeight="1">
      <c r="A28" s="50"/>
      <c r="B28" s="46"/>
      <c r="C28" s="46"/>
      <c r="P28" s="210"/>
      <c r="Q28" s="210"/>
      <c r="R28" s="210"/>
      <c r="S28" s="222"/>
      <c r="U28" s="286" t="s">
        <v>278</v>
      </c>
      <c r="V28" s="287"/>
      <c r="W28" s="210"/>
    </row>
    <row r="29" spans="1:36" ht="27.75" customHeight="1">
      <c r="A29" s="41" t="s">
        <v>136</v>
      </c>
      <c r="B29" s="42" t="s">
        <v>160</v>
      </c>
      <c r="P29" s="210"/>
      <c r="Q29" s="210"/>
      <c r="R29" s="268" t="s">
        <v>286</v>
      </c>
      <c r="S29" s="269" t="s">
        <v>297</v>
      </c>
      <c r="T29" s="264"/>
      <c r="U29" s="216" t="s">
        <v>230</v>
      </c>
      <c r="V29" s="216" t="s">
        <v>231</v>
      </c>
      <c r="W29" s="210"/>
      <c r="AB29" s="207" t="str">
        <f t="shared" ref="AB29" si="32">S29</f>
        <v>Description</v>
      </c>
      <c r="AC29" s="165"/>
      <c r="AD29" s="165"/>
      <c r="AE29" s="208" t="str">
        <f>U29</f>
        <v>CFF/109.2</v>
      </c>
      <c r="AF29" s="208" t="str">
        <f>V29</f>
        <v>CFG/80</v>
      </c>
    </row>
    <row r="30" spans="1:36" ht="17.25" customHeight="1">
      <c r="A30" s="56">
        <f t="shared" ref="A30:A48" ca="1" si="33">T30</f>
        <v>20.253157051068193</v>
      </c>
      <c r="B30" s="52" t="s">
        <v>161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40"/>
      <c r="P30" s="210"/>
      <c r="Q30" s="210"/>
      <c r="R30" s="219" t="s">
        <v>287</v>
      </c>
      <c r="S30" s="227" t="str">
        <f t="shared" ref="S30:S48" si="34">"Non FF "&amp;B30</f>
        <v>Non FF  7th year of service</v>
      </c>
      <c r="T30" s="265" cm="1">
        <f t="array" aca="1" ref="T30" ca="1">IF($R30="Y",VLOOKUP(S30,INDIRECT($P$2),2,0)*INDIRECT($Q$2),VLOOKUP(S30,INDIRECT($P$2),2,0))</f>
        <v>20.253157051068193</v>
      </c>
      <c r="U30" s="220">
        <f ca="1">T30/109.2</f>
        <v>0.18546847116362813</v>
      </c>
      <c r="V30" s="220">
        <f ca="1">T30/80</f>
        <v>0.25316446313835239</v>
      </c>
      <c r="W30" s="224"/>
      <c r="AB30" s="165" t="str">
        <f t="shared" ref="AB30" si="35">S30</f>
        <v>Non FF  7th year of service</v>
      </c>
      <c r="AC30" s="165"/>
      <c r="AD30" s="165"/>
      <c r="AE30" s="206">
        <f t="shared" ref="AE30" ca="1" si="36">ROUND(U30,3)</f>
        <v>0.185</v>
      </c>
      <c r="AF30" s="206">
        <f t="shared" ref="AF30" ca="1" si="37">ROUND(V30,3)</f>
        <v>0.253</v>
      </c>
    </row>
    <row r="31" spans="1:36" ht="17.25" customHeight="1">
      <c r="A31" s="56">
        <f t="shared" ca="1" si="33"/>
        <v>28.725065882887492</v>
      </c>
      <c r="B31" s="52" t="s">
        <v>162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40"/>
      <c r="P31" s="210"/>
      <c r="Q31" s="210"/>
      <c r="R31" s="219" t="s">
        <v>287</v>
      </c>
      <c r="S31" s="227" t="str">
        <f t="shared" si="34"/>
        <v>Non FF  8th year of service</v>
      </c>
      <c r="T31" s="265" cm="1">
        <f t="array" aca="1" ref="T31" ca="1">IF($R31="Y",VLOOKUP(S31,INDIRECT($P$2),2,0)*INDIRECT($Q$2),VLOOKUP(S31,INDIRECT($P$2),2,0))</f>
        <v>28.725065882887492</v>
      </c>
      <c r="U31" s="220">
        <f t="shared" ref="U31:U48" ca="1" si="38">T31/109.2</f>
        <v>0.26305005387259606</v>
      </c>
      <c r="V31" s="220">
        <f t="shared" ref="V31:V48" ca="1" si="39">T31/80</f>
        <v>0.35906332353609366</v>
      </c>
      <c r="W31" s="224"/>
      <c r="Y31" s="225"/>
      <c r="AB31" s="165" t="str">
        <f t="shared" ref="AB31:AB70" si="40">S31</f>
        <v>Non FF  8th year of service</v>
      </c>
      <c r="AC31" s="165"/>
      <c r="AD31" s="165"/>
      <c r="AE31" s="206">
        <f t="shared" ref="AE31:AE70" ca="1" si="41">ROUND(U31,3)</f>
        <v>0.26300000000000001</v>
      </c>
      <c r="AF31" s="206">
        <f t="shared" ref="AF31:AF70" ca="1" si="42">ROUND(V31,3)</f>
        <v>0.35899999999999999</v>
      </c>
    </row>
    <row r="32" spans="1:36" ht="17.25" customHeight="1">
      <c r="A32" s="56">
        <f t="shared" ca="1" si="33"/>
        <v>37.196974714706904</v>
      </c>
      <c r="B32" s="52" t="s">
        <v>163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40"/>
      <c r="P32" s="210"/>
      <c r="Q32" s="210"/>
      <c r="R32" s="219" t="s">
        <v>287</v>
      </c>
      <c r="S32" s="227" t="str">
        <f t="shared" si="34"/>
        <v>Non FF  9th year of service</v>
      </c>
      <c r="T32" s="265" cm="1">
        <f t="array" aca="1" ref="T32" ca="1">IF($R32="Y",VLOOKUP(S32,INDIRECT($P$2),2,0)*INDIRECT($Q$2),VLOOKUP(S32,INDIRECT($P$2),2,0))</f>
        <v>37.196974714706904</v>
      </c>
      <c r="U32" s="220">
        <f t="shared" ca="1" si="38"/>
        <v>0.34063163658156503</v>
      </c>
      <c r="V32" s="220">
        <f t="shared" ca="1" si="39"/>
        <v>0.46496218393383631</v>
      </c>
      <c r="W32" s="224"/>
      <c r="Y32" s="225"/>
      <c r="AB32" s="165" t="str">
        <f t="shared" si="40"/>
        <v>Non FF  9th year of service</v>
      </c>
      <c r="AC32" s="165"/>
      <c r="AD32" s="165"/>
      <c r="AE32" s="206">
        <f t="shared" ca="1" si="41"/>
        <v>0.34100000000000003</v>
      </c>
      <c r="AF32" s="206">
        <f t="shared" ca="1" si="42"/>
        <v>0.46500000000000002</v>
      </c>
    </row>
    <row r="33" spans="1:32" ht="17.25" customHeight="1">
      <c r="A33" s="56">
        <f t="shared" ca="1" si="33"/>
        <v>45.668883546526324</v>
      </c>
      <c r="B33" s="52" t="s">
        <v>164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40"/>
      <c r="P33" s="210"/>
      <c r="Q33" s="210"/>
      <c r="R33" s="219" t="s">
        <v>287</v>
      </c>
      <c r="S33" s="227" t="str">
        <f t="shared" si="34"/>
        <v>Non FF  10th year of service</v>
      </c>
      <c r="T33" s="265" cm="1">
        <f t="array" aca="1" ref="T33" ca="1">IF($R33="Y",VLOOKUP(S33,INDIRECT($P$2),2,0)*INDIRECT($Q$2),VLOOKUP(S33,INDIRECT($P$2),2,0))</f>
        <v>45.668883546526324</v>
      </c>
      <c r="U33" s="220">
        <f t="shared" ca="1" si="38"/>
        <v>0.41821321929053407</v>
      </c>
      <c r="V33" s="220">
        <f t="shared" ca="1" si="39"/>
        <v>0.57086104433157903</v>
      </c>
      <c r="W33" s="224"/>
      <c r="Y33" s="225"/>
      <c r="AB33" s="165" t="str">
        <f t="shared" si="40"/>
        <v>Non FF  10th year of service</v>
      </c>
      <c r="AC33" s="165"/>
      <c r="AD33" s="165"/>
      <c r="AE33" s="206">
        <f t="shared" ca="1" si="41"/>
        <v>0.41799999999999998</v>
      </c>
      <c r="AF33" s="206">
        <f t="shared" ca="1" si="42"/>
        <v>0.57099999999999995</v>
      </c>
    </row>
    <row r="34" spans="1:32" ht="17.25" customHeight="1">
      <c r="A34" s="56">
        <f t="shared" ca="1" si="33"/>
        <v>54.140792378345637</v>
      </c>
      <c r="B34" s="52" t="s">
        <v>165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40"/>
      <c r="P34" s="210"/>
      <c r="Q34" s="210"/>
      <c r="R34" s="219" t="s">
        <v>287</v>
      </c>
      <c r="S34" s="227" t="str">
        <f t="shared" si="34"/>
        <v>Non FF  11th year of service</v>
      </c>
      <c r="T34" s="265" cm="1">
        <f t="array" aca="1" ref="T34" ca="1">IF($R34="Y",VLOOKUP(S34,INDIRECT($P$2),2,0)*INDIRECT($Q$2),VLOOKUP(S34,INDIRECT($P$2),2,0))</f>
        <v>54.140792378345637</v>
      </c>
      <c r="U34" s="220">
        <f t="shared" ca="1" si="38"/>
        <v>0.49579480199950215</v>
      </c>
      <c r="V34" s="220">
        <f t="shared" ca="1" si="39"/>
        <v>0.67675990472932046</v>
      </c>
      <c r="W34" s="224"/>
      <c r="Y34" s="225"/>
      <c r="AB34" s="165" t="str">
        <f t="shared" si="40"/>
        <v>Non FF  11th year of service</v>
      </c>
      <c r="AC34" s="165"/>
      <c r="AD34" s="165"/>
      <c r="AE34" s="206">
        <f t="shared" ca="1" si="41"/>
        <v>0.496</v>
      </c>
      <c r="AF34" s="206">
        <f t="shared" ca="1" si="42"/>
        <v>0.67700000000000005</v>
      </c>
    </row>
    <row r="35" spans="1:32" ht="17.25" customHeight="1">
      <c r="A35" s="56">
        <f t="shared" ca="1" si="33"/>
        <v>163.6302860114491</v>
      </c>
      <c r="B35" s="52" t="s">
        <v>166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40"/>
      <c r="P35" s="210"/>
      <c r="Q35" s="210"/>
      <c r="R35" s="219" t="s">
        <v>287</v>
      </c>
      <c r="S35" s="227" t="str">
        <f t="shared" si="34"/>
        <v>Non FF  12th year of service</v>
      </c>
      <c r="T35" s="265" cm="1">
        <f t="array" aca="1" ref="T35" ca="1">IF($R35="Y",VLOOKUP(S35,INDIRECT($P$2),2,0)*INDIRECT($Q$2),VLOOKUP(S35,INDIRECT($P$2),2,0))</f>
        <v>163.6302860114491</v>
      </c>
      <c r="U35" s="220">
        <f t="shared" ca="1" si="38"/>
        <v>1.4984458425956877</v>
      </c>
      <c r="V35" s="220">
        <f t="shared" ca="1" si="39"/>
        <v>2.0453785751431139</v>
      </c>
      <c r="W35" s="224"/>
      <c r="Y35" s="225"/>
      <c r="AB35" s="165" t="str">
        <f t="shared" si="40"/>
        <v>Non FF  12th year of service</v>
      </c>
      <c r="AC35" s="165"/>
      <c r="AD35" s="165"/>
      <c r="AE35" s="206">
        <f t="shared" ca="1" si="41"/>
        <v>1.498</v>
      </c>
      <c r="AF35" s="206">
        <f t="shared" ca="1" si="42"/>
        <v>2.0449999999999999</v>
      </c>
    </row>
    <row r="36" spans="1:32" ht="17.25" customHeight="1">
      <c r="A36" s="56">
        <f t="shared" ca="1" si="33"/>
        <v>172.83024950850276</v>
      </c>
      <c r="B36" s="52" t="s">
        <v>167</v>
      </c>
      <c r="P36" s="210"/>
      <c r="Q36" s="210"/>
      <c r="R36" s="219" t="s">
        <v>287</v>
      </c>
      <c r="S36" s="227" t="str">
        <f t="shared" si="34"/>
        <v>Non FF  13th year of service</v>
      </c>
      <c r="T36" s="265" cm="1">
        <f t="array" aca="1" ref="T36" ca="1">IF($R36="Y",VLOOKUP(S36,INDIRECT($P$2),2,0)*INDIRECT($Q$2),VLOOKUP(S36,INDIRECT($P$2),2,0))</f>
        <v>172.83024950850276</v>
      </c>
      <c r="U36" s="220">
        <f t="shared" ca="1" si="38"/>
        <v>1.5826945925687066</v>
      </c>
      <c r="V36" s="220">
        <f t="shared" ca="1" si="39"/>
        <v>2.1603781188562845</v>
      </c>
      <c r="W36" s="224"/>
      <c r="Y36" s="225"/>
      <c r="AB36" s="165" t="str">
        <f t="shared" si="40"/>
        <v>Non FF  13th year of service</v>
      </c>
      <c r="AC36" s="165"/>
      <c r="AD36" s="165"/>
      <c r="AE36" s="206">
        <f t="shared" ca="1" si="41"/>
        <v>1.583</v>
      </c>
      <c r="AF36" s="206">
        <f t="shared" ca="1" si="42"/>
        <v>2.16</v>
      </c>
    </row>
    <row r="37" spans="1:32" ht="17.25" customHeight="1">
      <c r="A37" s="56">
        <f t="shared" ca="1" si="33"/>
        <v>182.01366630861907</v>
      </c>
      <c r="B37" s="52" t="s">
        <v>168</v>
      </c>
      <c r="P37" s="210"/>
      <c r="Q37" s="210"/>
      <c r="R37" s="219" t="s">
        <v>287</v>
      </c>
      <c r="S37" s="227" t="str">
        <f t="shared" si="34"/>
        <v>Non FF  14th year of service</v>
      </c>
      <c r="T37" s="265" cm="1">
        <f t="array" aca="1" ref="T37" ca="1">IF($R37="Y",VLOOKUP(S37,INDIRECT($P$2),2,0)*INDIRECT($Q$2),VLOOKUP(S37,INDIRECT($P$2),2,0))</f>
        <v>182.01366630861907</v>
      </c>
      <c r="U37" s="220">
        <f t="shared" ca="1" si="38"/>
        <v>1.6667918160129951</v>
      </c>
      <c r="V37" s="220">
        <f t="shared" ca="1" si="39"/>
        <v>2.2751708288577381</v>
      </c>
      <c r="W37" s="224"/>
      <c r="Y37" s="225"/>
      <c r="AB37" s="165" t="str">
        <f t="shared" si="40"/>
        <v>Non FF  14th year of service</v>
      </c>
      <c r="AC37" s="165"/>
      <c r="AD37" s="165"/>
      <c r="AE37" s="206">
        <f t="shared" ca="1" si="41"/>
        <v>1.667</v>
      </c>
      <c r="AF37" s="206">
        <f t="shared" ca="1" si="42"/>
        <v>2.2749999999999999</v>
      </c>
    </row>
    <row r="38" spans="1:32" ht="17.25" customHeight="1">
      <c r="A38" s="56">
        <f t="shared" ca="1" si="33"/>
        <v>238.07387553167385</v>
      </c>
      <c r="B38" s="52" t="s">
        <v>169</v>
      </c>
      <c r="P38" s="210"/>
      <c r="Q38" s="210"/>
      <c r="R38" s="219" t="s">
        <v>287</v>
      </c>
      <c r="S38" s="227" t="str">
        <f t="shared" si="34"/>
        <v>Non FF  15th year of service</v>
      </c>
      <c r="T38" s="265" cm="1">
        <f t="array" aca="1" ref="T38" ca="1">IF($R38="Y",VLOOKUP(S38,INDIRECT($P$2),2,0)*INDIRECT($Q$2),VLOOKUP(S38,INDIRECT($P$2),2,0))</f>
        <v>238.07387553167385</v>
      </c>
      <c r="U38" s="220">
        <f t="shared" ca="1" si="38"/>
        <v>2.1801636953449988</v>
      </c>
      <c r="V38" s="220">
        <f t="shared" ca="1" si="39"/>
        <v>2.975923444145923</v>
      </c>
      <c r="W38" s="224"/>
      <c r="Y38" s="225"/>
      <c r="AB38" s="165" t="str">
        <f t="shared" si="40"/>
        <v>Non FF  15th year of service</v>
      </c>
      <c r="AC38" s="165"/>
      <c r="AD38" s="165"/>
      <c r="AE38" s="206">
        <f t="shared" ca="1" si="41"/>
        <v>2.1800000000000002</v>
      </c>
      <c r="AF38" s="206">
        <f t="shared" ca="1" si="42"/>
        <v>2.976</v>
      </c>
    </row>
    <row r="39" spans="1:32" ht="17.25" customHeight="1">
      <c r="A39" s="56">
        <f t="shared" ca="1" si="33"/>
        <v>247.25729233179021</v>
      </c>
      <c r="B39" s="52" t="s">
        <v>170</v>
      </c>
      <c r="P39" s="210"/>
      <c r="Q39" s="210"/>
      <c r="R39" s="219" t="s">
        <v>287</v>
      </c>
      <c r="S39" s="227" t="str">
        <f t="shared" si="34"/>
        <v>Non FF  16th year of service</v>
      </c>
      <c r="T39" s="265" cm="1">
        <f t="array" aca="1" ref="T39" ca="1">IF($R39="Y",VLOOKUP(S39,INDIRECT($P$2),2,0)*INDIRECT($Q$2),VLOOKUP(S39,INDIRECT($P$2),2,0))</f>
        <v>247.25729233179021</v>
      </c>
      <c r="U39" s="220">
        <f t="shared" ca="1" si="38"/>
        <v>2.2642609187892875</v>
      </c>
      <c r="V39" s="220">
        <f t="shared" ca="1" si="39"/>
        <v>3.0907161541473775</v>
      </c>
      <c r="W39" s="224"/>
      <c r="Y39" s="225"/>
      <c r="AB39" s="165" t="str">
        <f t="shared" si="40"/>
        <v>Non FF  16th year of service</v>
      </c>
      <c r="AC39" s="165"/>
      <c r="AD39" s="165"/>
      <c r="AE39" s="206">
        <f t="shared" ca="1" si="41"/>
        <v>2.2639999999999998</v>
      </c>
      <c r="AF39" s="206">
        <f t="shared" ca="1" si="42"/>
        <v>3.0910000000000002</v>
      </c>
    </row>
    <row r="40" spans="1:32" ht="17.25" customHeight="1">
      <c r="A40" s="56">
        <f t="shared" ca="1" si="33"/>
        <v>256.45725582884393</v>
      </c>
      <c r="B40" s="52" t="s">
        <v>171</v>
      </c>
      <c r="P40" s="210"/>
      <c r="Q40" s="210"/>
      <c r="R40" s="219" t="s">
        <v>287</v>
      </c>
      <c r="S40" s="227" t="str">
        <f t="shared" si="34"/>
        <v>Non FF  17th year of service</v>
      </c>
      <c r="T40" s="265" cm="1">
        <f t="array" aca="1" ref="T40" ca="1">IF($R40="Y",VLOOKUP(S40,INDIRECT($P$2),2,0)*INDIRECT($Q$2),VLOOKUP(S40,INDIRECT($P$2),2,0))</f>
        <v>256.45725582884393</v>
      </c>
      <c r="U40" s="220">
        <f t="shared" ca="1" si="38"/>
        <v>2.3485096687623068</v>
      </c>
      <c r="V40" s="220">
        <f t="shared" ca="1" si="39"/>
        <v>3.205715697860549</v>
      </c>
      <c r="W40" s="224"/>
      <c r="Y40" s="225"/>
      <c r="AB40" s="165" t="str">
        <f t="shared" si="40"/>
        <v>Non FF  17th year of service</v>
      </c>
      <c r="AC40" s="165"/>
      <c r="AD40" s="165"/>
      <c r="AE40" s="206">
        <f t="shared" ca="1" si="41"/>
        <v>2.3490000000000002</v>
      </c>
      <c r="AF40" s="206">
        <f t="shared" ca="1" si="42"/>
        <v>3.206</v>
      </c>
    </row>
    <row r="41" spans="1:32" ht="17.25" customHeight="1">
      <c r="A41" s="56">
        <f t="shared" ca="1" si="33"/>
        <v>265.65721932589889</v>
      </c>
      <c r="B41" s="52" t="s">
        <v>172</v>
      </c>
      <c r="P41" s="210"/>
      <c r="Q41" s="210"/>
      <c r="R41" s="219" t="s">
        <v>287</v>
      </c>
      <c r="S41" s="227" t="str">
        <f t="shared" si="34"/>
        <v>Non FF  18th year of service</v>
      </c>
      <c r="T41" s="265" cm="1">
        <f t="array" aca="1" ref="T41" ca="1">IF($R41="Y",VLOOKUP(S41,INDIRECT($P$2),2,0)*INDIRECT($Q$2),VLOOKUP(S41,INDIRECT($P$2),2,0))</f>
        <v>265.65721932589889</v>
      </c>
      <c r="U41" s="220">
        <f t="shared" ca="1" si="38"/>
        <v>2.4327584187353377</v>
      </c>
      <c r="V41" s="220">
        <f t="shared" ca="1" si="39"/>
        <v>3.320715241573736</v>
      </c>
      <c r="W41" s="224"/>
      <c r="Y41" s="225"/>
      <c r="AB41" s="165" t="str">
        <f t="shared" si="40"/>
        <v>Non FF  18th year of service</v>
      </c>
      <c r="AC41" s="165"/>
      <c r="AD41" s="165"/>
      <c r="AE41" s="206">
        <f t="shared" ca="1" si="41"/>
        <v>2.4329999999999998</v>
      </c>
      <c r="AF41" s="206">
        <f t="shared" ca="1" si="42"/>
        <v>3.3210000000000002</v>
      </c>
    </row>
    <row r="42" spans="1:32" ht="17.25" customHeight="1">
      <c r="A42" s="56">
        <f t="shared" ca="1" si="33"/>
        <v>291.73481369884229</v>
      </c>
      <c r="B42" s="52" t="s">
        <v>173</v>
      </c>
      <c r="P42" s="210"/>
      <c r="Q42" s="210"/>
      <c r="R42" s="219" t="s">
        <v>287</v>
      </c>
      <c r="S42" s="227" t="str">
        <f t="shared" si="34"/>
        <v>Non FF  19th year of service</v>
      </c>
      <c r="T42" s="265" cm="1">
        <f t="array" aca="1" ref="T42" ca="1">IF($R42="Y",VLOOKUP(S42,INDIRECT($P$2),2,0)*INDIRECT($Q$2),VLOOKUP(S42,INDIRECT($P$2),2,0))</f>
        <v>291.73481369884229</v>
      </c>
      <c r="U42" s="220">
        <f t="shared" ca="1" si="38"/>
        <v>2.6715642280113761</v>
      </c>
      <c r="V42" s="220">
        <f t="shared" ca="1" si="39"/>
        <v>3.6466851712355286</v>
      </c>
      <c r="W42" s="224"/>
      <c r="Y42" s="225"/>
      <c r="AB42" s="165" t="str">
        <f t="shared" si="40"/>
        <v>Non FF  19th year of service</v>
      </c>
      <c r="AC42" s="165"/>
      <c r="AD42" s="165"/>
      <c r="AE42" s="206">
        <f t="shared" ca="1" si="41"/>
        <v>2.6720000000000002</v>
      </c>
      <c r="AF42" s="206">
        <f t="shared" ca="1" si="42"/>
        <v>3.6469999999999998</v>
      </c>
    </row>
    <row r="43" spans="1:32" ht="17.25" customHeight="1">
      <c r="A43" s="56">
        <f t="shared" ca="1" si="33"/>
        <v>366.52588385474735</v>
      </c>
      <c r="B43" s="52" t="s">
        <v>174</v>
      </c>
      <c r="P43" s="210"/>
      <c r="Q43" s="210"/>
      <c r="R43" s="219" t="s">
        <v>287</v>
      </c>
      <c r="S43" s="227" t="str">
        <f t="shared" si="34"/>
        <v>Non FF  20th year of service</v>
      </c>
      <c r="T43" s="265" cm="1">
        <f t="array" aca="1" ref="T43" ca="1">IF($R43="Y",VLOOKUP(S43,INDIRECT($P$2),2,0)*INDIRECT($Q$2),VLOOKUP(S43,INDIRECT($P$2),2,0))</f>
        <v>366.52588385474735</v>
      </c>
      <c r="U43" s="220">
        <f t="shared" ca="1" si="38"/>
        <v>3.3564641378639868</v>
      </c>
      <c r="V43" s="220">
        <f t="shared" ca="1" si="39"/>
        <v>4.581573548184342</v>
      </c>
      <c r="W43" s="224"/>
      <c r="Y43" s="225"/>
      <c r="AB43" s="165" t="str">
        <f t="shared" si="40"/>
        <v>Non FF  20th year of service</v>
      </c>
      <c r="AC43" s="165"/>
      <c r="AD43" s="165"/>
      <c r="AE43" s="206">
        <f t="shared" ca="1" si="41"/>
        <v>3.3559999999999999</v>
      </c>
      <c r="AF43" s="206">
        <f t="shared" ca="1" si="42"/>
        <v>4.5819999999999999</v>
      </c>
    </row>
    <row r="44" spans="1:32" ht="17.25" customHeight="1">
      <c r="A44" s="56">
        <f t="shared" ca="1" si="33"/>
        <v>375.72584735180112</v>
      </c>
      <c r="B44" s="52" t="s">
        <v>175</v>
      </c>
      <c r="P44" s="210"/>
      <c r="Q44" s="210"/>
      <c r="R44" s="219" t="s">
        <v>287</v>
      </c>
      <c r="S44" s="227" t="str">
        <f t="shared" si="34"/>
        <v>Non FF  21st year of service</v>
      </c>
      <c r="T44" s="265" cm="1">
        <f t="array" aca="1" ref="T44" ca="1">IF($R44="Y",VLOOKUP(S44,INDIRECT($P$2),2,0)*INDIRECT($Q$2),VLOOKUP(S44,INDIRECT($P$2),2,0))</f>
        <v>375.72584735180112</v>
      </c>
      <c r="U44" s="220">
        <f t="shared" ca="1" si="38"/>
        <v>3.4407128878370066</v>
      </c>
      <c r="V44" s="220">
        <f t="shared" ca="1" si="39"/>
        <v>4.6965730918975144</v>
      </c>
      <c r="W44" s="224"/>
      <c r="Y44" s="225"/>
      <c r="AB44" s="165" t="str">
        <f t="shared" si="40"/>
        <v>Non FF  21st year of service</v>
      </c>
      <c r="AC44" s="165"/>
      <c r="AD44" s="165"/>
      <c r="AE44" s="206">
        <f t="shared" ca="1" si="41"/>
        <v>3.4409999999999998</v>
      </c>
      <c r="AF44" s="206">
        <f t="shared" ca="1" si="42"/>
        <v>4.6970000000000001</v>
      </c>
    </row>
    <row r="45" spans="1:32" ht="17.25" customHeight="1">
      <c r="A45" s="56">
        <f t="shared" ca="1" si="33"/>
        <v>384.92581084885478</v>
      </c>
      <c r="B45" s="52" t="s">
        <v>176</v>
      </c>
      <c r="P45" s="210"/>
      <c r="Q45" s="210"/>
      <c r="R45" s="219" t="s">
        <v>287</v>
      </c>
      <c r="S45" s="227" t="str">
        <f t="shared" si="34"/>
        <v>Non FF  22nd year of service</v>
      </c>
      <c r="T45" s="265" cm="1">
        <f t="array" aca="1" ref="T45" ca="1">IF($R45="Y",VLOOKUP(S45,INDIRECT($P$2),2,0)*INDIRECT($Q$2),VLOOKUP(S45,INDIRECT($P$2),2,0))</f>
        <v>384.92581084885478</v>
      </c>
      <c r="U45" s="220">
        <f t="shared" ca="1" si="38"/>
        <v>3.5249616378100255</v>
      </c>
      <c r="V45" s="220">
        <f t="shared" ca="1" si="39"/>
        <v>4.8115726356106849</v>
      </c>
      <c r="W45" s="224"/>
      <c r="Y45" s="225"/>
      <c r="AB45" s="165" t="str">
        <f t="shared" si="40"/>
        <v>Non FF  22nd year of service</v>
      </c>
      <c r="AC45" s="165"/>
      <c r="AD45" s="165"/>
      <c r="AE45" s="206">
        <f t="shared" ca="1" si="41"/>
        <v>3.5249999999999999</v>
      </c>
      <c r="AF45" s="206">
        <f t="shared" ca="1" si="42"/>
        <v>4.8120000000000003</v>
      </c>
    </row>
    <row r="46" spans="1:32" ht="17.25" customHeight="1">
      <c r="A46" s="56">
        <f t="shared" ca="1" si="33"/>
        <v>394.12577434590969</v>
      </c>
      <c r="B46" s="52" t="s">
        <v>177</v>
      </c>
      <c r="P46" s="210"/>
      <c r="Q46" s="210"/>
      <c r="R46" s="219" t="s">
        <v>287</v>
      </c>
      <c r="S46" s="227" t="str">
        <f t="shared" si="34"/>
        <v>Non FF  23rd year of service</v>
      </c>
      <c r="T46" s="265" cm="1">
        <f t="array" aca="1" ref="T46" ca="1">IF($R46="Y",VLOOKUP(S46,INDIRECT($P$2),2,0)*INDIRECT($Q$2),VLOOKUP(S46,INDIRECT($P$2),2,0))</f>
        <v>394.12577434590969</v>
      </c>
      <c r="U46" s="220">
        <f t="shared" ca="1" si="38"/>
        <v>3.6092103877830555</v>
      </c>
      <c r="V46" s="220">
        <f t="shared" ca="1" si="39"/>
        <v>4.9265721793238715</v>
      </c>
      <c r="W46" s="224"/>
      <c r="Y46" s="225"/>
      <c r="AB46" s="165" t="str">
        <f t="shared" si="40"/>
        <v>Non FF  23rd year of service</v>
      </c>
      <c r="AC46" s="165"/>
      <c r="AD46" s="165"/>
      <c r="AE46" s="206">
        <f t="shared" ca="1" si="41"/>
        <v>3.609</v>
      </c>
      <c r="AF46" s="206">
        <f t="shared" ca="1" si="42"/>
        <v>4.9269999999999996</v>
      </c>
    </row>
    <row r="47" spans="1:32" ht="17.25" customHeight="1">
      <c r="A47" s="56">
        <f t="shared" ca="1" si="33"/>
        <v>403.32573784296329</v>
      </c>
      <c r="B47" s="52" t="s">
        <v>178</v>
      </c>
      <c r="P47" s="210"/>
      <c r="Q47" s="210"/>
      <c r="R47" s="219" t="s">
        <v>287</v>
      </c>
      <c r="S47" s="227" t="str">
        <f t="shared" si="34"/>
        <v>Non FF  24th year of service</v>
      </c>
      <c r="T47" s="265" cm="1">
        <f t="array" aca="1" ref="T47" ca="1">IF($R47="Y",VLOOKUP(S47,INDIRECT($P$2),2,0)*INDIRECT($Q$2),VLOOKUP(S47,INDIRECT($P$2),2,0))</f>
        <v>403.32573784296329</v>
      </c>
      <c r="U47" s="220">
        <f t="shared" ca="1" si="38"/>
        <v>3.6934591377560739</v>
      </c>
      <c r="V47" s="220">
        <f t="shared" ca="1" si="39"/>
        <v>5.0415717230370412</v>
      </c>
      <c r="W47" s="224"/>
      <c r="Y47" s="225"/>
      <c r="AB47" s="165" t="str">
        <f t="shared" si="40"/>
        <v>Non FF  24th year of service</v>
      </c>
      <c r="AC47" s="165"/>
      <c r="AD47" s="165"/>
      <c r="AE47" s="206">
        <f t="shared" ca="1" si="41"/>
        <v>3.6930000000000001</v>
      </c>
      <c r="AF47" s="206">
        <f t="shared" ca="1" si="42"/>
        <v>5.0419999999999998</v>
      </c>
    </row>
    <row r="48" spans="1:32" ht="17.25" customHeight="1">
      <c r="A48" s="56">
        <f t="shared" ca="1" si="33"/>
        <v>440.62199273929315</v>
      </c>
      <c r="B48" s="52" t="s">
        <v>179</v>
      </c>
      <c r="P48" s="210"/>
      <c r="Q48" s="210"/>
      <c r="R48" s="219" t="s">
        <v>287</v>
      </c>
      <c r="S48" s="227" t="str">
        <f t="shared" si="34"/>
        <v>Non FF  25th year of service</v>
      </c>
      <c r="T48" s="265" cm="1">
        <f t="array" aca="1" ref="T48" ca="1">IF($R48="Y",VLOOKUP(S48,INDIRECT($P$2),2,0)*INDIRECT($Q$2),VLOOKUP(S48,INDIRECT($P$2),2,0))</f>
        <v>440.62199273929315</v>
      </c>
      <c r="U48" s="220">
        <f t="shared" ca="1" si="38"/>
        <v>4.0349999335100106</v>
      </c>
      <c r="V48" s="220">
        <f t="shared" ca="1" si="39"/>
        <v>5.5077749092411645</v>
      </c>
      <c r="W48" s="224"/>
      <c r="Y48" s="225"/>
      <c r="AB48" s="165" t="str">
        <f t="shared" si="40"/>
        <v>Non FF  25th year of service</v>
      </c>
      <c r="AC48" s="165"/>
      <c r="AD48" s="165"/>
      <c r="AE48" s="206">
        <f t="shared" ca="1" si="41"/>
        <v>4.0350000000000001</v>
      </c>
      <c r="AF48" s="206">
        <f t="shared" ca="1" si="42"/>
        <v>5.508</v>
      </c>
    </row>
    <row r="49" spans="1:32">
      <c r="A49" s="261"/>
      <c r="B49" s="52"/>
      <c r="P49" s="210"/>
      <c r="Q49" s="210"/>
      <c r="R49" s="223"/>
      <c r="U49" s="223"/>
      <c r="V49" s="210"/>
      <c r="W49" s="210"/>
      <c r="AE49" s="209"/>
      <c r="AF49" s="209"/>
    </row>
    <row r="50" spans="1:32" ht="27.75" customHeight="1">
      <c r="A50" s="262" t="s">
        <v>136</v>
      </c>
      <c r="B50" s="42" t="s">
        <v>181</v>
      </c>
      <c r="P50" s="210"/>
      <c r="Q50" s="210"/>
      <c r="R50" s="268" t="s">
        <v>286</v>
      </c>
      <c r="S50" s="269" t="s">
        <v>297</v>
      </c>
      <c r="T50" s="267"/>
      <c r="U50" s="216" t="s">
        <v>232</v>
      </c>
      <c r="V50" s="216" t="s">
        <v>233</v>
      </c>
      <c r="W50" s="210"/>
      <c r="AB50" s="207" t="s">
        <v>297</v>
      </c>
      <c r="AC50" s="165"/>
      <c r="AD50" s="207"/>
      <c r="AE50" s="208" t="str">
        <f>U50</f>
        <v>CFH/109.2</v>
      </c>
      <c r="AF50" s="208" t="str">
        <f>V50</f>
        <v>CFI/80</v>
      </c>
    </row>
    <row r="51" spans="1:32" ht="17.25" customHeight="1">
      <c r="A51" s="56">
        <f ca="1">T51</f>
        <v>20.253157051068193</v>
      </c>
      <c r="B51" s="52" t="s">
        <v>161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40"/>
      <c r="P51" s="210"/>
      <c r="Q51" s="210"/>
      <c r="R51" s="219" t="s">
        <v>287</v>
      </c>
      <c r="S51" s="227" t="str">
        <f t="shared" ref="S51:S70" si="43">"FF "&amp;B51</f>
        <v>FF  7th year of service</v>
      </c>
      <c r="T51" s="265" cm="1">
        <f t="array" aca="1" ref="T51" ca="1">IF($R51="Y",VLOOKUP(S51,INDIRECT($P$2),2,0)*INDIRECT($Q$2),VLOOKUP(S51,INDIRECT($P$2),2,0))</f>
        <v>20.253157051068193</v>
      </c>
      <c r="U51" s="220">
        <f t="shared" ref="U51:U70" ca="1" si="44">T51/109.2</f>
        <v>0.18546847116362813</v>
      </c>
      <c r="V51" s="220">
        <f t="shared" ref="V51:V70" ca="1" si="45">T51/80</f>
        <v>0.25316446313835239</v>
      </c>
      <c r="W51" s="224"/>
      <c r="AB51" s="165" t="str">
        <f t="shared" si="40"/>
        <v>FF  7th year of service</v>
      </c>
      <c r="AC51" s="165"/>
      <c r="AD51" s="165"/>
      <c r="AE51" s="206">
        <f t="shared" ca="1" si="41"/>
        <v>0.185</v>
      </c>
      <c r="AF51" s="206">
        <f t="shared" ca="1" si="42"/>
        <v>0.253</v>
      </c>
    </row>
    <row r="52" spans="1:32" ht="17.25" customHeight="1">
      <c r="A52" s="56">
        <f t="shared" ref="A52:A70" ca="1" si="46">T52</f>
        <v>28.725065882887492</v>
      </c>
      <c r="B52" s="52" t="s">
        <v>162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40"/>
      <c r="P52" s="210"/>
      <c r="Q52" s="210"/>
      <c r="R52" s="219" t="s">
        <v>287</v>
      </c>
      <c r="S52" s="227" t="str">
        <f t="shared" si="43"/>
        <v>FF  8th year of service</v>
      </c>
      <c r="T52" s="265" cm="1">
        <f t="array" aca="1" ref="T52" ca="1">IF($R52="Y",VLOOKUP(S52,INDIRECT($P$2),2,0)*INDIRECT($Q$2),VLOOKUP(S52,INDIRECT($P$2),2,0))</f>
        <v>28.725065882887492</v>
      </c>
      <c r="U52" s="220">
        <f t="shared" ca="1" si="44"/>
        <v>0.26305005387259606</v>
      </c>
      <c r="V52" s="220">
        <f t="shared" ca="1" si="45"/>
        <v>0.35906332353609366</v>
      </c>
      <c r="W52" s="224"/>
      <c r="Y52" s="225"/>
      <c r="AB52" s="165" t="str">
        <f t="shared" si="40"/>
        <v>FF  8th year of service</v>
      </c>
      <c r="AC52" s="165"/>
      <c r="AD52" s="165"/>
      <c r="AE52" s="206">
        <f t="shared" ca="1" si="41"/>
        <v>0.26300000000000001</v>
      </c>
      <c r="AF52" s="206">
        <f t="shared" ca="1" si="42"/>
        <v>0.35899999999999999</v>
      </c>
    </row>
    <row r="53" spans="1:32" ht="17.25" customHeight="1">
      <c r="A53" s="56">
        <f t="shared" ca="1" si="46"/>
        <v>37.196974714706904</v>
      </c>
      <c r="B53" s="52" t="s">
        <v>163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40"/>
      <c r="P53" s="210"/>
      <c r="Q53" s="210"/>
      <c r="R53" s="219" t="s">
        <v>287</v>
      </c>
      <c r="S53" s="227" t="str">
        <f t="shared" si="43"/>
        <v>FF  9th year of service</v>
      </c>
      <c r="T53" s="265" cm="1">
        <f t="array" aca="1" ref="T53" ca="1">IF($R53="Y",VLOOKUP(S53,INDIRECT($P$2),2,0)*INDIRECT($Q$2),VLOOKUP(S53,INDIRECT($P$2),2,0))</f>
        <v>37.196974714706904</v>
      </c>
      <c r="U53" s="220">
        <f t="shared" ca="1" si="44"/>
        <v>0.34063163658156503</v>
      </c>
      <c r="V53" s="220">
        <f t="shared" ca="1" si="45"/>
        <v>0.46496218393383631</v>
      </c>
      <c r="W53" s="224"/>
      <c r="Y53" s="225"/>
      <c r="AB53" s="165" t="str">
        <f t="shared" si="40"/>
        <v>FF  9th year of service</v>
      </c>
      <c r="AC53" s="165"/>
      <c r="AD53" s="165"/>
      <c r="AE53" s="206">
        <f t="shared" ca="1" si="41"/>
        <v>0.34100000000000003</v>
      </c>
      <c r="AF53" s="206">
        <f t="shared" ca="1" si="42"/>
        <v>0.46500000000000002</v>
      </c>
    </row>
    <row r="54" spans="1:32" ht="17.25" customHeight="1">
      <c r="A54" s="56">
        <f t="shared" ca="1" si="46"/>
        <v>45.668883546526324</v>
      </c>
      <c r="B54" s="52" t="s">
        <v>164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40"/>
      <c r="P54" s="210"/>
      <c r="Q54" s="210"/>
      <c r="R54" s="219" t="s">
        <v>287</v>
      </c>
      <c r="S54" s="227" t="str">
        <f t="shared" si="43"/>
        <v>FF  10th year of service</v>
      </c>
      <c r="T54" s="265" cm="1">
        <f t="array" aca="1" ref="T54" ca="1">IF($R54="Y",VLOOKUP(S54,INDIRECT($P$2),2,0)*INDIRECT($Q$2),VLOOKUP(S54,INDIRECT($P$2),2,0))</f>
        <v>45.668883546526324</v>
      </c>
      <c r="U54" s="220">
        <f t="shared" ca="1" si="44"/>
        <v>0.41821321929053407</v>
      </c>
      <c r="V54" s="220">
        <f t="shared" ca="1" si="45"/>
        <v>0.57086104433157903</v>
      </c>
      <c r="W54" s="224"/>
      <c r="Y54" s="225"/>
      <c r="AB54" s="165" t="str">
        <f t="shared" si="40"/>
        <v>FF  10th year of service</v>
      </c>
      <c r="AC54" s="165"/>
      <c r="AD54" s="165"/>
      <c r="AE54" s="206">
        <f t="shared" ca="1" si="41"/>
        <v>0.41799999999999998</v>
      </c>
      <c r="AF54" s="206">
        <f t="shared" ca="1" si="42"/>
        <v>0.57099999999999995</v>
      </c>
    </row>
    <row r="55" spans="1:32" ht="17.25" customHeight="1">
      <c r="A55" s="56">
        <f t="shared" ca="1" si="46"/>
        <v>54.140792378345637</v>
      </c>
      <c r="B55" s="52" t="s">
        <v>165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40"/>
      <c r="P55" s="210"/>
      <c r="Q55" s="210"/>
      <c r="R55" s="219" t="s">
        <v>287</v>
      </c>
      <c r="S55" s="227" t="str">
        <f t="shared" si="43"/>
        <v>FF  11th year of service</v>
      </c>
      <c r="T55" s="265" cm="1">
        <f t="array" aca="1" ref="T55" ca="1">IF($R55="Y",VLOOKUP(S55,INDIRECT($P$2),2,0)*INDIRECT($Q$2),VLOOKUP(S55,INDIRECT($P$2),2,0))</f>
        <v>54.140792378345637</v>
      </c>
      <c r="U55" s="220">
        <f t="shared" ca="1" si="44"/>
        <v>0.49579480199950215</v>
      </c>
      <c r="V55" s="220">
        <f t="shared" ca="1" si="45"/>
        <v>0.67675990472932046</v>
      </c>
      <c r="W55" s="224"/>
      <c r="Y55" s="225"/>
      <c r="AB55" s="165" t="str">
        <f t="shared" si="40"/>
        <v>FF  11th year of service</v>
      </c>
      <c r="AC55" s="165"/>
      <c r="AD55" s="165"/>
      <c r="AE55" s="206">
        <f t="shared" ca="1" si="41"/>
        <v>0.496</v>
      </c>
      <c r="AF55" s="206">
        <f t="shared" ca="1" si="42"/>
        <v>0.67700000000000005</v>
      </c>
    </row>
    <row r="56" spans="1:32" ht="17.25" customHeight="1">
      <c r="A56" s="56">
        <f t="shared" ca="1" si="46"/>
        <v>163.6302860114491</v>
      </c>
      <c r="B56" s="52" t="s">
        <v>166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40"/>
      <c r="P56" s="210"/>
      <c r="Q56" s="210"/>
      <c r="R56" s="219" t="s">
        <v>287</v>
      </c>
      <c r="S56" s="227" t="str">
        <f t="shared" si="43"/>
        <v>FF  12th year of service</v>
      </c>
      <c r="T56" s="265" cm="1">
        <f t="array" aca="1" ref="T56" ca="1">IF($R56="Y",VLOOKUP(S56,INDIRECT($P$2),2,0)*INDIRECT($Q$2),VLOOKUP(S56,INDIRECT($P$2),2,0))</f>
        <v>163.6302860114491</v>
      </c>
      <c r="U56" s="220">
        <f t="shared" ca="1" si="44"/>
        <v>1.4984458425956877</v>
      </c>
      <c r="V56" s="220">
        <f t="shared" ca="1" si="45"/>
        <v>2.0453785751431139</v>
      </c>
      <c r="W56" s="224"/>
      <c r="Y56" s="225"/>
      <c r="AB56" s="165" t="str">
        <f t="shared" si="40"/>
        <v>FF  12th year of service</v>
      </c>
      <c r="AC56" s="165"/>
      <c r="AD56" s="165"/>
      <c r="AE56" s="206">
        <f t="shared" ca="1" si="41"/>
        <v>1.498</v>
      </c>
      <c r="AF56" s="206">
        <f t="shared" ca="1" si="42"/>
        <v>2.0449999999999999</v>
      </c>
    </row>
    <row r="57" spans="1:32" ht="17.25" customHeight="1">
      <c r="A57" s="56">
        <f t="shared" ca="1" si="46"/>
        <v>172.83024950850276</v>
      </c>
      <c r="B57" s="52" t="s">
        <v>167</v>
      </c>
      <c r="P57" s="210"/>
      <c r="Q57" s="210"/>
      <c r="R57" s="219" t="s">
        <v>287</v>
      </c>
      <c r="S57" s="227" t="str">
        <f t="shared" si="43"/>
        <v>FF  13th year of service</v>
      </c>
      <c r="T57" s="265" cm="1">
        <f t="array" aca="1" ref="T57" ca="1">IF($R57="Y",VLOOKUP(S57,INDIRECT($P$2),2,0)*INDIRECT($Q$2),VLOOKUP(S57,INDIRECT($P$2),2,0))</f>
        <v>172.83024950850276</v>
      </c>
      <c r="U57" s="220">
        <f t="shared" ca="1" si="44"/>
        <v>1.5826945925687066</v>
      </c>
      <c r="V57" s="220">
        <f t="shared" ca="1" si="45"/>
        <v>2.1603781188562845</v>
      </c>
      <c r="W57" s="224"/>
      <c r="Y57" s="225"/>
      <c r="AB57" s="165" t="str">
        <f t="shared" si="40"/>
        <v>FF  13th year of service</v>
      </c>
      <c r="AC57" s="165"/>
      <c r="AD57" s="165"/>
      <c r="AE57" s="206">
        <f t="shared" ca="1" si="41"/>
        <v>1.583</v>
      </c>
      <c r="AF57" s="206">
        <f t="shared" ca="1" si="42"/>
        <v>2.16</v>
      </c>
    </row>
    <row r="58" spans="1:32" ht="17.25" customHeight="1">
      <c r="A58" s="56">
        <f t="shared" ca="1" si="46"/>
        <v>182.01366630861907</v>
      </c>
      <c r="B58" s="52" t="s">
        <v>168</v>
      </c>
      <c r="P58" s="210"/>
      <c r="Q58" s="210"/>
      <c r="R58" s="219" t="s">
        <v>287</v>
      </c>
      <c r="S58" s="227" t="str">
        <f t="shared" si="43"/>
        <v>FF  14th year of service</v>
      </c>
      <c r="T58" s="265" cm="1">
        <f t="array" aca="1" ref="T58" ca="1">IF($R58="Y",VLOOKUP(S58,INDIRECT($P$2),2,0)*INDIRECT($Q$2),VLOOKUP(S58,INDIRECT($P$2),2,0))</f>
        <v>182.01366630861907</v>
      </c>
      <c r="U58" s="220">
        <f t="shared" ca="1" si="44"/>
        <v>1.6667918160129951</v>
      </c>
      <c r="V58" s="220">
        <f t="shared" ca="1" si="45"/>
        <v>2.2751708288577381</v>
      </c>
      <c r="W58" s="224"/>
      <c r="Y58" s="225"/>
      <c r="AB58" s="165" t="str">
        <f t="shared" si="40"/>
        <v>FF  14th year of service</v>
      </c>
      <c r="AC58" s="165"/>
      <c r="AD58" s="165"/>
      <c r="AE58" s="206">
        <f t="shared" ca="1" si="41"/>
        <v>1.667</v>
      </c>
      <c r="AF58" s="206">
        <f t="shared" ca="1" si="42"/>
        <v>2.2749999999999999</v>
      </c>
    </row>
    <row r="59" spans="1:32" ht="17.25" customHeight="1">
      <c r="A59" s="56">
        <f t="shared" ca="1" si="46"/>
        <v>238.07387553167385</v>
      </c>
      <c r="B59" s="52" t="s">
        <v>169</v>
      </c>
      <c r="P59" s="210"/>
      <c r="Q59" s="210"/>
      <c r="R59" s="219" t="s">
        <v>287</v>
      </c>
      <c r="S59" s="227" t="str">
        <f t="shared" si="43"/>
        <v>FF  15th year of service</v>
      </c>
      <c r="T59" s="265" cm="1">
        <f t="array" aca="1" ref="T59" ca="1">IF($R59="Y",VLOOKUP(S59,INDIRECT($P$2),2,0)*INDIRECT($Q$2),VLOOKUP(S59,INDIRECT($P$2),2,0))</f>
        <v>238.07387553167385</v>
      </c>
      <c r="U59" s="220">
        <f t="shared" ca="1" si="44"/>
        <v>2.1801636953449988</v>
      </c>
      <c r="V59" s="220">
        <f t="shared" ca="1" si="45"/>
        <v>2.975923444145923</v>
      </c>
      <c r="W59" s="224"/>
      <c r="Y59" s="225"/>
      <c r="AB59" s="165" t="str">
        <f t="shared" si="40"/>
        <v>FF  15th year of service</v>
      </c>
      <c r="AC59" s="165"/>
      <c r="AD59" s="165"/>
      <c r="AE59" s="206">
        <f t="shared" ca="1" si="41"/>
        <v>2.1800000000000002</v>
      </c>
      <c r="AF59" s="206">
        <f t="shared" ca="1" si="42"/>
        <v>2.976</v>
      </c>
    </row>
    <row r="60" spans="1:32" ht="17.25" customHeight="1">
      <c r="A60" s="56">
        <f t="shared" ca="1" si="46"/>
        <v>247.25729233179021</v>
      </c>
      <c r="B60" s="52" t="s">
        <v>170</v>
      </c>
      <c r="P60" s="210"/>
      <c r="Q60" s="210"/>
      <c r="R60" s="219" t="s">
        <v>287</v>
      </c>
      <c r="S60" s="227" t="str">
        <f t="shared" si="43"/>
        <v>FF  16th year of service</v>
      </c>
      <c r="T60" s="265" cm="1">
        <f t="array" aca="1" ref="T60" ca="1">IF($R60="Y",VLOOKUP(S60,INDIRECT($P$2),2,0)*INDIRECT($Q$2),VLOOKUP(S60,INDIRECT($P$2),2,0))</f>
        <v>247.25729233179021</v>
      </c>
      <c r="U60" s="220">
        <f t="shared" ca="1" si="44"/>
        <v>2.2642609187892875</v>
      </c>
      <c r="V60" s="220">
        <f t="shared" ca="1" si="45"/>
        <v>3.0907161541473775</v>
      </c>
      <c r="W60" s="224"/>
      <c r="Y60" s="225"/>
      <c r="AB60" s="165" t="str">
        <f t="shared" si="40"/>
        <v>FF  16th year of service</v>
      </c>
      <c r="AC60" s="165"/>
      <c r="AD60" s="165"/>
      <c r="AE60" s="206">
        <f t="shared" ca="1" si="41"/>
        <v>2.2639999999999998</v>
      </c>
      <c r="AF60" s="206">
        <f t="shared" ca="1" si="42"/>
        <v>3.0910000000000002</v>
      </c>
    </row>
    <row r="61" spans="1:32" ht="17.25" customHeight="1">
      <c r="A61" s="56">
        <f t="shared" ca="1" si="46"/>
        <v>256.45725582884393</v>
      </c>
      <c r="B61" s="52" t="s">
        <v>171</v>
      </c>
      <c r="P61" s="210"/>
      <c r="Q61" s="210"/>
      <c r="R61" s="219" t="s">
        <v>287</v>
      </c>
      <c r="S61" s="227" t="str">
        <f t="shared" si="43"/>
        <v>FF  17th year of service</v>
      </c>
      <c r="T61" s="265" cm="1">
        <f t="array" aca="1" ref="T61" ca="1">IF($R61="Y",VLOOKUP(S61,INDIRECT($P$2),2,0)*INDIRECT($Q$2),VLOOKUP(S61,INDIRECT($P$2),2,0))</f>
        <v>256.45725582884393</v>
      </c>
      <c r="U61" s="220">
        <f t="shared" ca="1" si="44"/>
        <v>2.3485096687623068</v>
      </c>
      <c r="V61" s="220">
        <f t="shared" ca="1" si="45"/>
        <v>3.205715697860549</v>
      </c>
      <c r="W61" s="224"/>
      <c r="Y61" s="225"/>
      <c r="AB61" s="165" t="str">
        <f t="shared" si="40"/>
        <v>FF  17th year of service</v>
      </c>
      <c r="AC61" s="165"/>
      <c r="AD61" s="165"/>
      <c r="AE61" s="206">
        <f t="shared" ca="1" si="41"/>
        <v>2.3490000000000002</v>
      </c>
      <c r="AF61" s="206">
        <f t="shared" ca="1" si="42"/>
        <v>3.206</v>
      </c>
    </row>
    <row r="62" spans="1:32" ht="17.25" customHeight="1">
      <c r="A62" s="56">
        <f t="shared" ca="1" si="46"/>
        <v>265.65721932589889</v>
      </c>
      <c r="B62" s="52" t="s">
        <v>172</v>
      </c>
      <c r="P62" s="210"/>
      <c r="Q62" s="210"/>
      <c r="R62" s="219" t="s">
        <v>287</v>
      </c>
      <c r="S62" s="227" t="str">
        <f t="shared" si="43"/>
        <v>FF  18th year of service</v>
      </c>
      <c r="T62" s="265" cm="1">
        <f t="array" aca="1" ref="T62" ca="1">IF($R62="Y",VLOOKUP(S62,INDIRECT($P$2),2,0)*INDIRECT($Q$2),VLOOKUP(S62,INDIRECT($P$2),2,0))</f>
        <v>265.65721932589889</v>
      </c>
      <c r="U62" s="220">
        <f t="shared" ca="1" si="44"/>
        <v>2.4327584187353377</v>
      </c>
      <c r="V62" s="220">
        <f t="shared" ca="1" si="45"/>
        <v>3.320715241573736</v>
      </c>
      <c r="W62" s="224"/>
      <c r="Y62" s="225"/>
      <c r="AB62" s="165" t="str">
        <f t="shared" si="40"/>
        <v>FF  18th year of service</v>
      </c>
      <c r="AC62" s="165"/>
      <c r="AD62" s="165"/>
      <c r="AE62" s="206">
        <f t="shared" ca="1" si="41"/>
        <v>2.4329999999999998</v>
      </c>
      <c r="AF62" s="206">
        <f t="shared" ca="1" si="42"/>
        <v>3.3210000000000002</v>
      </c>
    </row>
    <row r="63" spans="1:32" ht="17.25" customHeight="1">
      <c r="A63" s="56">
        <f t="shared" ca="1" si="46"/>
        <v>291.73481369884229</v>
      </c>
      <c r="B63" s="52" t="s">
        <v>173</v>
      </c>
      <c r="P63" s="210"/>
      <c r="Q63" s="210"/>
      <c r="R63" s="219" t="s">
        <v>287</v>
      </c>
      <c r="S63" s="227" t="str">
        <f t="shared" si="43"/>
        <v>FF  19th year of service</v>
      </c>
      <c r="T63" s="265" cm="1">
        <f t="array" aca="1" ref="T63" ca="1">IF($R63="Y",VLOOKUP(S63,INDIRECT($P$2),2,0)*INDIRECT($Q$2),VLOOKUP(S63,INDIRECT($P$2),2,0))</f>
        <v>291.73481369884229</v>
      </c>
      <c r="U63" s="220">
        <f t="shared" ca="1" si="44"/>
        <v>2.6715642280113761</v>
      </c>
      <c r="V63" s="220">
        <f t="shared" ca="1" si="45"/>
        <v>3.6466851712355286</v>
      </c>
      <c r="W63" s="224"/>
      <c r="Y63" s="225"/>
      <c r="AB63" s="165" t="str">
        <f t="shared" si="40"/>
        <v>FF  19th year of service</v>
      </c>
      <c r="AC63" s="165"/>
      <c r="AD63" s="165"/>
      <c r="AE63" s="206">
        <f t="shared" ca="1" si="41"/>
        <v>2.6720000000000002</v>
      </c>
      <c r="AF63" s="206">
        <f t="shared" ca="1" si="42"/>
        <v>3.6469999999999998</v>
      </c>
    </row>
    <row r="64" spans="1:32" ht="17.25" customHeight="1">
      <c r="A64" s="56">
        <f t="shared" ca="1" si="46"/>
        <v>366.52588385474735</v>
      </c>
      <c r="B64" s="52" t="s">
        <v>174</v>
      </c>
      <c r="P64" s="210"/>
      <c r="Q64" s="210"/>
      <c r="R64" s="219" t="s">
        <v>287</v>
      </c>
      <c r="S64" s="227" t="str">
        <f t="shared" si="43"/>
        <v>FF  20th year of service</v>
      </c>
      <c r="T64" s="265" cm="1">
        <f t="array" aca="1" ref="T64" ca="1">IF($R64="Y",VLOOKUP(S64,INDIRECT($P$2),2,0)*INDIRECT($Q$2),VLOOKUP(S64,INDIRECT($P$2),2,0))</f>
        <v>366.52588385474735</v>
      </c>
      <c r="U64" s="220">
        <f t="shared" ca="1" si="44"/>
        <v>3.3564641378639868</v>
      </c>
      <c r="V64" s="220">
        <f t="shared" ca="1" si="45"/>
        <v>4.581573548184342</v>
      </c>
      <c r="W64" s="224"/>
      <c r="Y64" s="225"/>
      <c r="AB64" s="165" t="str">
        <f t="shared" si="40"/>
        <v>FF  20th year of service</v>
      </c>
      <c r="AC64" s="165"/>
      <c r="AD64" s="165"/>
      <c r="AE64" s="206">
        <f t="shared" ca="1" si="41"/>
        <v>3.3559999999999999</v>
      </c>
      <c r="AF64" s="206">
        <f t="shared" ca="1" si="42"/>
        <v>4.5819999999999999</v>
      </c>
    </row>
    <row r="65" spans="1:32" ht="17.25" customHeight="1">
      <c r="A65" s="56">
        <f t="shared" ca="1" si="46"/>
        <v>431.75589048507811</v>
      </c>
      <c r="B65" s="52" t="s">
        <v>175</v>
      </c>
      <c r="P65" s="210"/>
      <c r="Q65" s="210"/>
      <c r="R65" s="219" t="s">
        <v>287</v>
      </c>
      <c r="S65" s="227" t="str">
        <f t="shared" si="43"/>
        <v>FF  21st year of service</v>
      </c>
      <c r="T65" s="265" cm="1">
        <f t="array" aca="1" ref="T65" ca="1">IF($R65="Y",VLOOKUP(S65,INDIRECT($P$2),2,0)*INDIRECT($Q$2),VLOOKUP(S65,INDIRECT($P$2),2,0))</f>
        <v>431.75589048507811</v>
      </c>
      <c r="U65" s="220">
        <f t="shared" ca="1" si="44"/>
        <v>3.9538085209256235</v>
      </c>
      <c r="V65" s="220">
        <f t="shared" ca="1" si="45"/>
        <v>5.3969486310634762</v>
      </c>
      <c r="W65" s="224"/>
      <c r="Y65" s="225"/>
      <c r="AB65" s="165" t="str">
        <f t="shared" si="40"/>
        <v>FF  21st year of service</v>
      </c>
      <c r="AC65" s="165"/>
      <c r="AD65" s="165"/>
      <c r="AE65" s="206">
        <f t="shared" ca="1" si="41"/>
        <v>3.9540000000000002</v>
      </c>
      <c r="AF65" s="206">
        <f t="shared" ca="1" si="42"/>
        <v>5.3970000000000002</v>
      </c>
    </row>
    <row r="66" spans="1:32" ht="17.25" customHeight="1">
      <c r="A66" s="56">
        <f t="shared" ca="1" si="46"/>
        <v>440.955853982132</v>
      </c>
      <c r="B66" s="52" t="s">
        <v>176</v>
      </c>
      <c r="P66" s="210"/>
      <c r="Q66" s="210"/>
      <c r="R66" s="219" t="s">
        <v>287</v>
      </c>
      <c r="S66" s="227" t="str">
        <f t="shared" si="43"/>
        <v>FF  22nd year of service</v>
      </c>
      <c r="T66" s="265" cm="1">
        <f t="array" aca="1" ref="T66" ca="1">IF($R66="Y",VLOOKUP(S66,INDIRECT($P$2),2,0)*INDIRECT($Q$2),VLOOKUP(S66,INDIRECT($P$2),2,0))</f>
        <v>440.955853982132</v>
      </c>
      <c r="U66" s="220">
        <f t="shared" ca="1" si="44"/>
        <v>4.0380572708986442</v>
      </c>
      <c r="V66" s="220">
        <f t="shared" ca="1" si="45"/>
        <v>5.5119481747766503</v>
      </c>
      <c r="W66" s="224"/>
      <c r="Y66" s="225"/>
      <c r="AB66" s="165" t="str">
        <f t="shared" si="40"/>
        <v>FF  22nd year of service</v>
      </c>
      <c r="AC66" s="165"/>
      <c r="AD66" s="165"/>
      <c r="AE66" s="206">
        <f t="shared" ca="1" si="41"/>
        <v>4.0380000000000003</v>
      </c>
      <c r="AF66" s="206">
        <f t="shared" ca="1" si="42"/>
        <v>5.5119999999999996</v>
      </c>
    </row>
    <row r="67" spans="1:32" ht="17.25" customHeight="1">
      <c r="A67" s="56">
        <f t="shared" ca="1" si="46"/>
        <v>450.15581747918594</v>
      </c>
      <c r="B67" s="52" t="s">
        <v>177</v>
      </c>
      <c r="P67" s="210"/>
      <c r="Q67" s="210"/>
      <c r="R67" s="219" t="s">
        <v>287</v>
      </c>
      <c r="S67" s="227" t="str">
        <f t="shared" si="43"/>
        <v>FF  23rd year of service</v>
      </c>
      <c r="T67" s="265" cm="1">
        <f t="array" aca="1" ref="T67" ca="1">IF($R67="Y",VLOOKUP(S67,INDIRECT($P$2),2,0)*INDIRECT($Q$2),VLOOKUP(S67,INDIRECT($P$2),2,0))</f>
        <v>450.15581747918594</v>
      </c>
      <c r="U67" s="220">
        <f t="shared" ca="1" si="44"/>
        <v>4.1223060208716662</v>
      </c>
      <c r="V67" s="220">
        <f t="shared" ca="1" si="45"/>
        <v>5.6269477184898244</v>
      </c>
      <c r="W67" s="224"/>
      <c r="Y67" s="225"/>
      <c r="AB67" s="165" t="str">
        <f t="shared" si="40"/>
        <v>FF  23rd year of service</v>
      </c>
      <c r="AC67" s="165"/>
      <c r="AD67" s="165"/>
      <c r="AE67" s="206">
        <f t="shared" ca="1" si="41"/>
        <v>4.1219999999999999</v>
      </c>
      <c r="AF67" s="206">
        <f t="shared" ca="1" si="42"/>
        <v>5.6269999999999998</v>
      </c>
    </row>
    <row r="68" spans="1:32" ht="17.25" customHeight="1">
      <c r="A68" s="56">
        <f t="shared" ca="1" si="46"/>
        <v>459.35578097623983</v>
      </c>
      <c r="B68" s="52" t="s">
        <v>178</v>
      </c>
      <c r="P68" s="210"/>
      <c r="Q68" s="210"/>
      <c r="R68" s="219" t="s">
        <v>287</v>
      </c>
      <c r="S68" s="227" t="str">
        <f t="shared" si="43"/>
        <v>FF  24th year of service</v>
      </c>
      <c r="T68" s="265" cm="1">
        <f t="array" aca="1" ref="T68" ca="1">IF($R68="Y",VLOOKUP(S68,INDIRECT($P$2),2,0)*INDIRECT($Q$2),VLOOKUP(S68,INDIRECT($P$2),2,0))</f>
        <v>459.35578097623983</v>
      </c>
      <c r="U68" s="220">
        <f t="shared" ca="1" si="44"/>
        <v>4.2065547708446873</v>
      </c>
      <c r="V68" s="220">
        <f t="shared" ca="1" si="45"/>
        <v>5.7419472622029977</v>
      </c>
      <c r="W68" s="224"/>
      <c r="Y68" s="225"/>
      <c r="AB68" s="165" t="str">
        <f t="shared" si="40"/>
        <v>FF  24th year of service</v>
      </c>
      <c r="AC68" s="165"/>
      <c r="AD68" s="165"/>
      <c r="AE68" s="206">
        <f t="shared" ca="1" si="41"/>
        <v>4.2069999999999999</v>
      </c>
      <c r="AF68" s="206">
        <f t="shared" ca="1" si="42"/>
        <v>5.742</v>
      </c>
    </row>
    <row r="69" spans="1:32" ht="17.25" customHeight="1">
      <c r="A69" s="56">
        <f t="shared" ca="1" si="46"/>
        <v>496.65203587256968</v>
      </c>
      <c r="B69" s="52" t="s">
        <v>179</v>
      </c>
      <c r="P69" s="210"/>
      <c r="Q69" s="210"/>
      <c r="R69" s="219" t="s">
        <v>287</v>
      </c>
      <c r="S69" s="227" t="str">
        <f t="shared" si="43"/>
        <v>FF  25th year of service</v>
      </c>
      <c r="T69" s="265" cm="1">
        <f t="array" aca="1" ref="T69" ca="1">IF($R69="Y",VLOOKUP(S69,INDIRECT($P$2),2,0)*INDIRECT($Q$2),VLOOKUP(S69,INDIRECT($P$2),2,0))</f>
        <v>496.65203587256968</v>
      </c>
      <c r="U69" s="220">
        <f t="shared" ca="1" si="44"/>
        <v>4.5480955665986231</v>
      </c>
      <c r="V69" s="220">
        <f t="shared" ca="1" si="45"/>
        <v>6.208150448407121</v>
      </c>
      <c r="W69" s="224"/>
      <c r="Y69" s="225"/>
      <c r="AB69" s="165" t="str">
        <f t="shared" si="40"/>
        <v>FF  25th year of service</v>
      </c>
      <c r="AC69" s="165"/>
      <c r="AD69" s="165"/>
      <c r="AE69" s="206">
        <f t="shared" ca="1" si="41"/>
        <v>4.548</v>
      </c>
      <c r="AF69" s="206">
        <f t="shared" ca="1" si="42"/>
        <v>6.2080000000000002</v>
      </c>
    </row>
    <row r="70" spans="1:32" ht="17.25" customHeight="1">
      <c r="A70" s="56">
        <f t="shared" ca="1" si="46"/>
        <v>568.89355757398096</v>
      </c>
      <c r="B70" s="52" t="s">
        <v>180</v>
      </c>
      <c r="P70" s="210"/>
      <c r="Q70" s="210"/>
      <c r="R70" s="219" t="s">
        <v>287</v>
      </c>
      <c r="S70" s="227" t="str">
        <f t="shared" si="43"/>
        <v>FF 26th year of service</v>
      </c>
      <c r="T70" s="265" cm="1">
        <f t="array" aca="1" ref="T70" ca="1">IF($R70="Y",VLOOKUP(S70,INDIRECT($P$2),2,0)*INDIRECT($Q$2),VLOOKUP(S70,INDIRECT($P$2),2,0))</f>
        <v>568.89355757398096</v>
      </c>
      <c r="U70" s="220">
        <f t="shared" ca="1" si="44"/>
        <v>5.2096479631316939</v>
      </c>
      <c r="V70" s="220">
        <f t="shared" ca="1" si="45"/>
        <v>7.1111694696747616</v>
      </c>
      <c r="W70" s="224"/>
      <c r="Y70" s="225"/>
      <c r="AB70" s="165" t="str">
        <f t="shared" si="40"/>
        <v>FF 26th year of service</v>
      </c>
      <c r="AC70" s="165"/>
      <c r="AD70" s="165"/>
      <c r="AE70" s="206">
        <f t="shared" ca="1" si="41"/>
        <v>5.21</v>
      </c>
      <c r="AF70" s="206">
        <f t="shared" ca="1" si="42"/>
        <v>7.1109999999999998</v>
      </c>
    </row>
    <row r="71" spans="1:32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212"/>
    </row>
    <row r="72" spans="1:32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212"/>
    </row>
    <row r="73" spans="1:32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212"/>
    </row>
    <row r="74" spans="1:32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212"/>
    </row>
    <row r="75" spans="1:32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212"/>
    </row>
    <row r="76" spans="1:32">
      <c r="A76" s="42" t="s">
        <v>311</v>
      </c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46" t="s">
        <v>312</v>
      </c>
      <c r="P76" s="212"/>
    </row>
    <row r="77" spans="1:32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44"/>
      <c r="P77" s="212"/>
    </row>
    <row r="78" spans="1:32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44"/>
      <c r="P78" s="212"/>
    </row>
    <row r="79" spans="1:32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44"/>
      <c r="P79" s="212"/>
    </row>
    <row r="80" spans="1:32"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54"/>
      <c r="N80" s="44"/>
      <c r="P80" s="212"/>
    </row>
    <row r="81" spans="1:15">
      <c r="A81" s="41"/>
      <c r="B81" s="52"/>
    </row>
    <row r="82" spans="1:15">
      <c r="A82" s="41"/>
    </row>
    <row r="83" spans="1:15">
      <c r="A83" s="51"/>
    </row>
    <row r="84" spans="1:15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</row>
    <row r="85" spans="1:15">
      <c r="A85" s="51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26"/>
    </row>
    <row r="86" spans="1:15">
      <c r="A86" s="51"/>
      <c r="B86" s="52"/>
      <c r="O86" s="226"/>
    </row>
    <row r="87" spans="1:15">
      <c r="A87" s="51"/>
      <c r="B87" s="52"/>
      <c r="O87" s="226"/>
    </row>
    <row r="88" spans="1:15">
      <c r="A88" s="51"/>
      <c r="B88" s="52"/>
      <c r="O88" s="226"/>
    </row>
    <row r="89" spans="1:15">
      <c r="A89" s="51"/>
      <c r="B89" s="52"/>
      <c r="O89" s="226"/>
    </row>
    <row r="90" spans="1:15">
      <c r="A90" s="51"/>
      <c r="B90" s="52"/>
      <c r="O90" s="226"/>
    </row>
    <row r="91" spans="1:15">
      <c r="A91" s="51"/>
      <c r="B91" s="52"/>
      <c r="O91" s="226"/>
    </row>
    <row r="92" spans="1:15">
      <c r="A92" s="51"/>
      <c r="B92" s="52"/>
      <c r="O92" s="226"/>
    </row>
    <row r="93" spans="1:15">
      <c r="A93" s="51"/>
      <c r="B93" s="52"/>
      <c r="O93" s="226"/>
    </row>
    <row r="94" spans="1:15">
      <c r="A94" s="51"/>
      <c r="B94" s="52"/>
      <c r="O94" s="226"/>
    </row>
    <row r="95" spans="1:15">
      <c r="A95" s="51"/>
      <c r="B95" s="52"/>
      <c r="O95" s="226"/>
    </row>
    <row r="96" spans="1:15">
      <c r="A96" s="51"/>
      <c r="B96" s="52"/>
      <c r="O96" s="226"/>
    </row>
    <row r="97" spans="1:15">
      <c r="A97" s="51"/>
      <c r="B97" s="52"/>
      <c r="O97" s="226"/>
    </row>
    <row r="98" spans="1:15">
      <c r="A98" s="51"/>
      <c r="B98" s="52"/>
      <c r="O98" s="226"/>
    </row>
    <row r="99" spans="1:15">
      <c r="B99" s="52"/>
      <c r="O99" s="226"/>
    </row>
    <row r="100" spans="1:15">
      <c r="B100" s="52"/>
      <c r="O100" s="226"/>
    </row>
    <row r="101" spans="1:15">
      <c r="B101" s="52"/>
    </row>
    <row r="102" spans="1:15">
      <c r="B102" s="52"/>
    </row>
  </sheetData>
  <mergeCells count="5">
    <mergeCell ref="F3:L3"/>
    <mergeCell ref="U28:V28"/>
    <mergeCell ref="B84:N84"/>
    <mergeCell ref="B85:N85"/>
    <mergeCell ref="G7:L7"/>
  </mergeCells>
  <phoneticPr fontId="39" type="noConversion"/>
  <pageMargins left="0.25" right="0.25" top="0.75" bottom="0.75" header="0.3" footer="0.3"/>
  <pageSetup orientation="landscape" r:id="rId1"/>
  <headerFooter alignWithMargins="0"/>
  <rowBreaks count="2" manualBreakCount="2">
    <brk id="28" max="16383" man="1"/>
    <brk id="55" max="16383" man="1"/>
  </rowBreaks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E4B99-8B1B-471F-B529-77FA172F25F9}">
  <dimension ref="A1:AS102"/>
  <sheetViews>
    <sheetView showGridLines="0" tabSelected="1" zoomScaleNormal="100" workbookViewId="0">
      <selection activeCell="H19" sqref="H19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6.3984375" style="42" bestFit="1" customWidth="1"/>
    <col min="4" max="4" width="26.86328125" style="42" bestFit="1" customWidth="1"/>
    <col min="5" max="5" width="6.59765625" style="42" hidden="1" customWidth="1"/>
    <col min="6" max="6" width="2.1328125" style="42" hidden="1" customWidth="1"/>
    <col min="7" max="7" width="8.59765625" style="42" bestFit="1" customWidth="1"/>
    <col min="8" max="8" width="8.1328125" style="42" bestFit="1" customWidth="1"/>
    <col min="9" max="11" width="6.59765625" style="42" customWidth="1"/>
    <col min="12" max="12" width="6.59765625" style="42" bestFit="1" customWidth="1"/>
    <col min="13" max="13" width="6.3984375" style="42" customWidth="1"/>
    <col min="14" max="14" width="46.3984375" style="46" customWidth="1"/>
    <col min="15" max="15" width="23.86328125" style="210" hidden="1" customWidth="1"/>
    <col min="16" max="16" width="14.86328125" style="211" hidden="1" customWidth="1"/>
    <col min="17" max="17" width="11.59765625" style="211" hidden="1" customWidth="1"/>
    <col min="18" max="18" width="7.86328125" style="211" hidden="1" customWidth="1"/>
    <col min="19" max="19" width="24.3984375" style="214" hidden="1" customWidth="1"/>
    <col min="20" max="20" width="32.1328125" style="211" hidden="1" customWidth="1"/>
    <col min="21" max="21" width="12.265625" style="211" hidden="1" customWidth="1"/>
    <col min="22" max="25" width="7.3984375" style="211" hidden="1" customWidth="1"/>
    <col min="26" max="26" width="8.1328125" style="211" hidden="1" customWidth="1"/>
    <col min="27" max="36" width="9.1328125" style="42" hidden="1" customWidth="1"/>
    <col min="37" max="37" width="24.3984375" style="205" hidden="1" customWidth="1"/>
    <col min="38" max="38" width="5.86328125" style="205" hidden="1" customWidth="1"/>
    <col min="39" max="39" width="32.1328125" style="205" hidden="1" customWidth="1"/>
    <col min="40" max="40" width="9.3984375" style="205" hidden="1" customWidth="1"/>
    <col min="41" max="45" width="7.3984375" style="205" hidden="1" customWidth="1"/>
    <col min="46" max="16384" width="9.1328125" style="42"/>
  </cols>
  <sheetData>
    <row r="1" spans="1:45">
      <c r="A1" s="42" t="s">
        <v>310</v>
      </c>
    </row>
    <row r="2" spans="1:45" ht="15.75">
      <c r="A2" s="273" t="s">
        <v>140</v>
      </c>
      <c r="B2" s="274"/>
      <c r="C2" s="274"/>
      <c r="D2" s="274"/>
      <c r="E2" s="275"/>
      <c r="F2" s="41"/>
      <c r="G2" s="41"/>
      <c r="H2" s="41"/>
      <c r="O2" s="210" t="s">
        <v>288</v>
      </c>
      <c r="P2" s="211" t="s">
        <v>313</v>
      </c>
      <c r="Q2" s="212" t="s">
        <v>314</v>
      </c>
      <c r="R2" s="213">
        <v>1.04</v>
      </c>
    </row>
    <row r="3" spans="1:45" ht="15.75">
      <c r="A3" s="246" t="s">
        <v>322</v>
      </c>
      <c r="B3" s="44"/>
      <c r="C3" s="44"/>
      <c r="D3" s="41"/>
      <c r="E3" s="41"/>
      <c r="F3" s="282" t="s">
        <v>80</v>
      </c>
      <c r="G3" s="282"/>
      <c r="H3" s="282"/>
      <c r="I3" s="282"/>
      <c r="J3" s="282"/>
      <c r="K3" s="282"/>
      <c r="L3" s="282"/>
      <c r="M3" s="41"/>
      <c r="N3" s="44"/>
      <c r="U3" s="211">
        <v>3</v>
      </c>
      <c r="V3" s="211">
        <v>4</v>
      </c>
      <c r="W3" s="211">
        <v>5</v>
      </c>
      <c r="X3" s="211">
        <v>6</v>
      </c>
      <c r="Y3" s="211">
        <v>7</v>
      </c>
      <c r="Z3" s="211">
        <v>8</v>
      </c>
    </row>
    <row r="4" spans="1:45">
      <c r="A4" s="247" t="s">
        <v>317</v>
      </c>
      <c r="B4" s="44"/>
      <c r="C4" s="44"/>
      <c r="D4" s="41"/>
      <c r="E4" s="41"/>
      <c r="F4" s="43"/>
      <c r="G4" s="43"/>
      <c r="H4" s="43"/>
      <c r="I4" s="43"/>
      <c r="J4" s="43"/>
      <c r="K4" s="43"/>
      <c r="L4" s="43"/>
      <c r="M4" s="41"/>
      <c r="N4" s="44"/>
    </row>
    <row r="5" spans="1:45">
      <c r="A5" s="50" t="s">
        <v>318</v>
      </c>
      <c r="B5" s="44"/>
      <c r="C5" s="44"/>
      <c r="D5" s="41"/>
      <c r="E5" s="41"/>
      <c r="F5" s="43"/>
      <c r="G5" s="43"/>
      <c r="H5" s="43"/>
      <c r="I5" s="43"/>
      <c r="J5" s="43"/>
      <c r="K5" s="43"/>
      <c r="L5" s="43"/>
      <c r="M5" s="41"/>
      <c r="N5" s="44"/>
    </row>
    <row r="6" spans="1:45" ht="14.65" thickBot="1">
      <c r="A6" s="50"/>
      <c r="B6" s="44"/>
      <c r="C6" s="44"/>
      <c r="D6" s="41"/>
      <c r="E6" s="41"/>
      <c r="F6" s="43"/>
      <c r="G6" s="43"/>
      <c r="H6" s="43"/>
      <c r="I6" s="43"/>
      <c r="J6" s="43"/>
      <c r="K6" s="43"/>
      <c r="L6" s="43"/>
      <c r="M6" s="41"/>
      <c r="N6" s="44"/>
      <c r="O6" s="222" t="s">
        <v>301</v>
      </c>
      <c r="AK6" s="248" t="s">
        <v>302</v>
      </c>
    </row>
    <row r="7" spans="1:45" ht="14.65" thickBot="1">
      <c r="A7" s="43"/>
      <c r="B7" s="44"/>
      <c r="C7" s="44"/>
      <c r="D7" s="41"/>
      <c r="E7" s="41"/>
      <c r="F7" s="43"/>
      <c r="G7" s="283" t="s">
        <v>300</v>
      </c>
      <c r="H7" s="284"/>
      <c r="I7" s="284"/>
      <c r="J7" s="284"/>
      <c r="K7" s="284"/>
      <c r="L7" s="285"/>
      <c r="M7" s="41"/>
      <c r="N7" s="44"/>
    </row>
    <row r="8" spans="1:45" ht="30" customHeight="1" thickBot="1">
      <c r="A8" s="175" t="s">
        <v>137</v>
      </c>
      <c r="B8" s="176" t="s">
        <v>114</v>
      </c>
      <c r="C8" s="176" t="s">
        <v>138</v>
      </c>
      <c r="D8" s="177" t="s">
        <v>4</v>
      </c>
      <c r="E8" s="177" t="s">
        <v>5</v>
      </c>
      <c r="F8" s="249" t="s">
        <v>6</v>
      </c>
      <c r="G8" s="255" t="s">
        <v>7</v>
      </c>
      <c r="H8" s="256" t="s">
        <v>8</v>
      </c>
      <c r="I8" s="256" t="s">
        <v>9</v>
      </c>
      <c r="J8" s="256" t="s">
        <v>10</v>
      </c>
      <c r="K8" s="256" t="s">
        <v>11</v>
      </c>
      <c r="L8" s="257" t="s">
        <v>12</v>
      </c>
      <c r="M8" s="45"/>
      <c r="N8" s="42"/>
      <c r="O8" s="215" t="s">
        <v>285</v>
      </c>
      <c r="P8" s="215" t="s">
        <v>277</v>
      </c>
      <c r="Q8" s="215" t="s">
        <v>138</v>
      </c>
      <c r="R8" s="215" t="s">
        <v>286</v>
      </c>
      <c r="S8" s="215" t="s">
        <v>137</v>
      </c>
      <c r="T8" s="216" t="s">
        <v>279</v>
      </c>
      <c r="U8" s="216" t="s">
        <v>7</v>
      </c>
      <c r="V8" s="216" t="s">
        <v>8</v>
      </c>
      <c r="W8" s="216" t="s">
        <v>9</v>
      </c>
      <c r="X8" s="216" t="s">
        <v>10</v>
      </c>
      <c r="Y8" s="216" t="s">
        <v>11</v>
      </c>
      <c r="Z8" s="216" t="s">
        <v>12</v>
      </c>
      <c r="AK8" s="204" t="s">
        <v>137</v>
      </c>
      <c r="AL8" s="164" t="s">
        <v>138</v>
      </c>
      <c r="AM8" s="161" t="s">
        <v>279</v>
      </c>
      <c r="AN8" s="161" t="s">
        <v>7</v>
      </c>
      <c r="AO8" s="161" t="s">
        <v>8</v>
      </c>
      <c r="AP8" s="161" t="s">
        <v>9</v>
      </c>
      <c r="AQ8" s="161" t="s">
        <v>10</v>
      </c>
      <c r="AR8" s="161" t="s">
        <v>11</v>
      </c>
      <c r="AS8" s="161" t="s">
        <v>12</v>
      </c>
    </row>
    <row r="9" spans="1:45" ht="18.75" customHeight="1">
      <c r="A9" s="179" t="s">
        <v>157</v>
      </c>
      <c r="B9" s="173" t="s">
        <v>115</v>
      </c>
      <c r="C9" s="173" t="str">
        <f>Q9</f>
        <v>CFG 5</v>
      </c>
      <c r="D9" s="174" t="s">
        <v>84</v>
      </c>
      <c r="E9" s="171"/>
      <c r="F9" s="250" t="s">
        <v>17</v>
      </c>
      <c r="G9" s="258">
        <f ca="1">U9*$O9</f>
        <v>2177.3877428560395</v>
      </c>
      <c r="H9" s="259"/>
      <c r="I9" s="259"/>
      <c r="J9" s="259"/>
      <c r="K9" s="259"/>
      <c r="L9" s="260"/>
      <c r="M9" s="45"/>
      <c r="N9" s="42"/>
      <c r="O9" s="217">
        <v>80</v>
      </c>
      <c r="P9" s="218" t="s">
        <v>143</v>
      </c>
      <c r="Q9" s="219" t="s">
        <v>156</v>
      </c>
      <c r="R9" s="219" t="s">
        <v>287</v>
      </c>
      <c r="S9" s="219" t="str">
        <f t="shared" ref="S9:S22" si="0">A9</f>
        <v>04440C</v>
      </c>
      <c r="T9" s="217" t="s">
        <v>84</v>
      </c>
      <c r="U9" s="276">
        <f ca="1">'January 1, 2025'!U9*IncrPerc2026</f>
        <v>27.217346785700496</v>
      </c>
      <c r="V9" s="276"/>
      <c r="W9" s="276"/>
      <c r="X9" s="276"/>
      <c r="Y9" s="276"/>
      <c r="Z9" s="276"/>
      <c r="AA9" s="279">
        <f ca="1">U9/'January 1, 2025'!U9</f>
        <v>1.04</v>
      </c>
      <c r="AK9" s="165" t="str">
        <f>S9</f>
        <v>04440C</v>
      </c>
      <c r="AL9" s="165" t="str">
        <f t="shared" ref="AL9:AL22" si="1">C9</f>
        <v>CFG 5</v>
      </c>
      <c r="AM9" s="165" t="str">
        <f>T9</f>
        <v>Fire Cadet</v>
      </c>
      <c r="AN9" s="206">
        <f ca="1">ROUND(U9,3)</f>
        <v>27.216999999999999</v>
      </c>
      <c r="AO9" s="165"/>
      <c r="AP9" s="165"/>
      <c r="AQ9" s="165"/>
      <c r="AR9" s="165"/>
      <c r="AS9" s="165"/>
    </row>
    <row r="10" spans="1:45" ht="18.75" customHeight="1">
      <c r="A10" s="180" t="s">
        <v>15</v>
      </c>
      <c r="B10" s="63" t="s">
        <v>115</v>
      </c>
      <c r="C10" s="173" t="str">
        <f t="shared" ref="C10:C22" si="2">Q10</f>
        <v>CFH 1</v>
      </c>
      <c r="D10" s="59" t="s">
        <v>16</v>
      </c>
      <c r="E10" s="59">
        <v>353</v>
      </c>
      <c r="F10" s="251" t="s">
        <v>17</v>
      </c>
      <c r="G10" s="253">
        <f ca="1">U10*$O10</f>
        <v>3110.4998060508369</v>
      </c>
      <c r="H10" s="188">
        <f t="shared" ref="H10:L22" ca="1" si="3">V10*$O10</f>
        <v>3234.9091650143259</v>
      </c>
      <c r="I10" s="188">
        <f t="shared" ca="1" si="3"/>
        <v>3364.3693312861624</v>
      </c>
      <c r="J10" s="188">
        <f t="shared" ca="1" si="3"/>
        <v>3498.8803048663453</v>
      </c>
      <c r="K10" s="188">
        <f t="shared" ca="1" si="3"/>
        <v>3638.8408337002711</v>
      </c>
      <c r="L10" s="189">
        <f t="shared" ca="1" si="3"/>
        <v>3784.383833769738</v>
      </c>
      <c r="M10" s="47"/>
      <c r="N10" s="42"/>
      <c r="O10" s="217">
        <v>109.2</v>
      </c>
      <c r="P10" s="219" t="s">
        <v>144</v>
      </c>
      <c r="Q10" s="219" t="s">
        <v>235</v>
      </c>
      <c r="R10" s="219" t="s">
        <v>287</v>
      </c>
      <c r="S10" s="219" t="str">
        <f t="shared" si="0"/>
        <v>04450C</v>
      </c>
      <c r="T10" s="217" t="s">
        <v>16</v>
      </c>
      <c r="U10" s="276">
        <f ca="1">'January 1, 2025'!U10*IncrPerc2026</f>
        <v>28.484430458340995</v>
      </c>
      <c r="V10" s="276">
        <f ca="1">'January 1, 2025'!V10*IncrPerc2026</f>
        <v>29.623710302328991</v>
      </c>
      <c r="W10" s="276">
        <f ca="1">'January 1, 2025'!W10*IncrPerc2026</f>
        <v>30.80924296049599</v>
      </c>
      <c r="X10" s="276">
        <f ca="1">'January 1, 2025'!X10*IncrPerc2026</f>
        <v>32.041028432841991</v>
      </c>
      <c r="Y10" s="276">
        <f ca="1">'January 1, 2025'!Y10*IncrPerc2026</f>
        <v>33.322718257328489</v>
      </c>
      <c r="Z10" s="276">
        <f ca="1">'January 1, 2025'!Z10*IncrPerc2026</f>
        <v>34.655529613275988</v>
      </c>
      <c r="AA10" s="279">
        <f ca="1">U10/'January 1, 2025'!U10</f>
        <v>1.04</v>
      </c>
      <c r="AB10" s="279">
        <f ca="1">V10/'January 1, 2025'!V10</f>
        <v>1.04</v>
      </c>
      <c r="AC10" s="279">
        <f ca="1">W10/'January 1, 2025'!W10</f>
        <v>1.04</v>
      </c>
      <c r="AD10" s="279">
        <f ca="1">X10/'January 1, 2025'!X10</f>
        <v>1.04</v>
      </c>
      <c r="AE10" s="279">
        <f ca="1">Y10/'January 1, 2025'!Y10</f>
        <v>1.04</v>
      </c>
      <c r="AF10" s="279">
        <f ca="1">Z10/'January 1, 2025'!Z10</f>
        <v>1.04</v>
      </c>
      <c r="AK10" s="165" t="str">
        <f>S10</f>
        <v>04450C</v>
      </c>
      <c r="AL10" s="165" t="str">
        <f t="shared" si="1"/>
        <v>CFH 1</v>
      </c>
      <c r="AM10" s="165" t="str">
        <f>T10</f>
        <v>Fire Fighter</v>
      </c>
      <c r="AN10" s="206">
        <f ca="1">ROUND(U10,3)</f>
        <v>28.484000000000002</v>
      </c>
      <c r="AO10" s="206">
        <f t="shared" ref="AO10:AS23" ca="1" si="4">ROUND(V10,3)</f>
        <v>29.623999999999999</v>
      </c>
      <c r="AP10" s="206">
        <f t="shared" ca="1" si="4"/>
        <v>30.809000000000001</v>
      </c>
      <c r="AQ10" s="206">
        <f t="shared" ca="1" si="4"/>
        <v>32.040999999999997</v>
      </c>
      <c r="AR10" s="206">
        <f t="shared" ca="1" si="4"/>
        <v>33.323</v>
      </c>
      <c r="AS10" s="206">
        <f t="shared" ca="1" si="4"/>
        <v>34.655999999999999</v>
      </c>
    </row>
    <row r="11" spans="1:45" ht="18.75" customHeight="1">
      <c r="A11" s="180" t="s">
        <v>19</v>
      </c>
      <c r="B11" s="63" t="s">
        <v>115</v>
      </c>
      <c r="C11" s="173" t="str">
        <f t="shared" si="2"/>
        <v>CFI 1</v>
      </c>
      <c r="D11" s="59" t="s">
        <v>20</v>
      </c>
      <c r="E11" s="59">
        <v>353</v>
      </c>
      <c r="F11" s="251" t="s">
        <v>17</v>
      </c>
      <c r="G11" s="253">
        <f t="shared" ref="G11:G22" ca="1" si="5">U11*$O11</f>
        <v>3110.5260971241596</v>
      </c>
      <c r="H11" s="188">
        <f t="shared" ca="1" si="3"/>
        <v>3234.9705108520784</v>
      </c>
      <c r="I11" s="188">
        <f t="shared" ca="1" si="3"/>
        <v>3364.3810162076388</v>
      </c>
      <c r="J11" s="188">
        <f t="shared" ca="1" si="3"/>
        <v>3498.9523618821195</v>
      </c>
      <c r="K11" s="188">
        <f t="shared" ca="1" si="3"/>
        <v>3638.879296566799</v>
      </c>
      <c r="L11" s="189">
        <f t="shared" ca="1" si="3"/>
        <v>3784.4539432985976</v>
      </c>
      <c r="M11" s="47"/>
      <c r="N11" s="42"/>
      <c r="O11" s="217">
        <v>80</v>
      </c>
      <c r="P11" s="219" t="s">
        <v>143</v>
      </c>
      <c r="Q11" s="219" t="s">
        <v>234</v>
      </c>
      <c r="R11" s="219" t="s">
        <v>287</v>
      </c>
      <c r="S11" s="219" t="str">
        <f t="shared" si="0"/>
        <v>04451C</v>
      </c>
      <c r="T11" s="217" t="s">
        <v>20</v>
      </c>
      <c r="U11" s="276">
        <f ca="1">'January 1, 2025'!U11*IncrPerc2026</f>
        <v>38.881576214051996</v>
      </c>
      <c r="V11" s="276">
        <f ca="1">'January 1, 2025'!V11*IncrPerc2026</f>
        <v>40.437131385650979</v>
      </c>
      <c r="W11" s="276">
        <f ca="1">'January 1, 2025'!W11*IncrPerc2026</f>
        <v>42.054762702595482</v>
      </c>
      <c r="X11" s="276">
        <f ca="1">'January 1, 2025'!X11*IncrPerc2026</f>
        <v>43.736904523526491</v>
      </c>
      <c r="Y11" s="276">
        <f ca="1">'January 1, 2025'!Y11*IncrPerc2026</f>
        <v>45.485991207084986</v>
      </c>
      <c r="Z11" s="276">
        <f ca="1">'January 1, 2025'!Z11*IncrPerc2026</f>
        <v>47.305674291232471</v>
      </c>
      <c r="AA11" s="279">
        <f ca="1">U11/'January 1, 2025'!U11</f>
        <v>1.04</v>
      </c>
      <c r="AB11" s="279">
        <f ca="1">V11/'January 1, 2025'!V11</f>
        <v>1.04</v>
      </c>
      <c r="AC11" s="279">
        <f ca="1">W11/'January 1, 2025'!W11</f>
        <v>1.04</v>
      </c>
      <c r="AD11" s="279">
        <f ca="1">X11/'January 1, 2025'!X11</f>
        <v>1.04</v>
      </c>
      <c r="AE11" s="279">
        <f ca="1">Y11/'January 1, 2025'!Y11</f>
        <v>1.04</v>
      </c>
      <c r="AF11" s="279">
        <f ca="1">Z11/'January 1, 2025'!Z11</f>
        <v>1.04</v>
      </c>
      <c r="AK11" s="165" t="str">
        <f t="shared" ref="AK11:AK23" si="6">S11</f>
        <v>04451C</v>
      </c>
      <c r="AL11" s="165" t="str">
        <f t="shared" si="1"/>
        <v>CFI 1</v>
      </c>
      <c r="AM11" s="165" t="str">
        <f t="shared" ref="AM11:AM23" si="7">T11</f>
        <v>Fire Fighter (40 hrs.)</v>
      </c>
      <c r="AN11" s="206">
        <f t="shared" ref="AN11:AN23" ca="1" si="8">ROUND(U11,3)</f>
        <v>38.881999999999998</v>
      </c>
      <c r="AO11" s="206">
        <f t="shared" ca="1" si="4"/>
        <v>40.436999999999998</v>
      </c>
      <c r="AP11" s="206">
        <f t="shared" ca="1" si="4"/>
        <v>42.055</v>
      </c>
      <c r="AQ11" s="206">
        <f t="shared" ca="1" si="4"/>
        <v>43.737000000000002</v>
      </c>
      <c r="AR11" s="206">
        <f t="shared" ca="1" si="4"/>
        <v>45.485999999999997</v>
      </c>
      <c r="AS11" s="206">
        <f t="shared" ca="1" si="4"/>
        <v>47.305999999999997</v>
      </c>
    </row>
    <row r="12" spans="1:45" ht="18.75" customHeight="1">
      <c r="A12" s="180" t="s">
        <v>21</v>
      </c>
      <c r="B12" s="63" t="s">
        <v>115</v>
      </c>
      <c r="C12" s="173" t="str">
        <f t="shared" si="2"/>
        <v>CFF 1</v>
      </c>
      <c r="D12" s="59" t="s">
        <v>22</v>
      </c>
      <c r="E12" s="59"/>
      <c r="F12" s="251" t="s">
        <v>17</v>
      </c>
      <c r="G12" s="253">
        <f t="shared" ca="1" si="5"/>
        <v>3110.4998060508369</v>
      </c>
      <c r="H12" s="188">
        <f t="shared" ca="1" si="3"/>
        <v>3234.9091650143259</v>
      </c>
      <c r="I12" s="188">
        <f t="shared" ca="1" si="3"/>
        <v>3364.3693312861624</v>
      </c>
      <c r="J12" s="188">
        <f t="shared" ca="1" si="3"/>
        <v>3498.8803048663453</v>
      </c>
      <c r="K12" s="188">
        <f t="shared" ca="1" si="3"/>
        <v>3638.8408337002711</v>
      </c>
      <c r="L12" s="189">
        <f t="shared" ca="1" si="3"/>
        <v>3784.383833769738</v>
      </c>
      <c r="M12" s="47"/>
      <c r="N12" s="42"/>
      <c r="O12" s="217">
        <v>109.2</v>
      </c>
      <c r="P12" s="219" t="s">
        <v>144</v>
      </c>
      <c r="Q12" s="219" t="s">
        <v>148</v>
      </c>
      <c r="R12" s="219" t="s">
        <v>287</v>
      </c>
      <c r="S12" s="219" t="str">
        <f t="shared" si="0"/>
        <v>04388C</v>
      </c>
      <c r="T12" s="217" t="s">
        <v>22</v>
      </c>
      <c r="U12" s="276">
        <f ca="1">'January 1, 2025'!U12*IncrPerc2026</f>
        <v>28.484430458340995</v>
      </c>
      <c r="V12" s="276">
        <f ca="1">'January 1, 2025'!V12*IncrPerc2026</f>
        <v>29.623710302328991</v>
      </c>
      <c r="W12" s="276">
        <f ca="1">'January 1, 2025'!W12*IncrPerc2026</f>
        <v>30.80924296049599</v>
      </c>
      <c r="X12" s="276">
        <f ca="1">'January 1, 2025'!X12*IncrPerc2026</f>
        <v>32.041028432841991</v>
      </c>
      <c r="Y12" s="276">
        <f ca="1">'January 1, 2025'!Y12*IncrPerc2026</f>
        <v>33.322718257328489</v>
      </c>
      <c r="Z12" s="276">
        <f ca="1">'January 1, 2025'!Z12*IncrPerc2026</f>
        <v>34.655529613275988</v>
      </c>
      <c r="AA12" s="279">
        <f ca="1">U12/'January 1, 2025'!U12</f>
        <v>1.04</v>
      </c>
      <c r="AB12" s="279">
        <f ca="1">V12/'January 1, 2025'!V12</f>
        <v>1.04</v>
      </c>
      <c r="AC12" s="279">
        <f ca="1">W12/'January 1, 2025'!W12</f>
        <v>1.04</v>
      </c>
      <c r="AD12" s="279">
        <f ca="1">X12/'January 1, 2025'!X12</f>
        <v>1.04</v>
      </c>
      <c r="AE12" s="279">
        <f ca="1">Y12/'January 1, 2025'!Y12</f>
        <v>1.04</v>
      </c>
      <c r="AF12" s="279">
        <f ca="1">Z12/'January 1, 2025'!Z12</f>
        <v>1.04</v>
      </c>
      <c r="AK12" s="165" t="str">
        <f t="shared" si="6"/>
        <v>04388C</v>
      </c>
      <c r="AL12" s="165" t="str">
        <f t="shared" si="1"/>
        <v>CFF 1</v>
      </c>
      <c r="AM12" s="165" t="str">
        <f t="shared" si="7"/>
        <v>Fire Inspector 1</v>
      </c>
      <c r="AN12" s="206">
        <f t="shared" ca="1" si="8"/>
        <v>28.484000000000002</v>
      </c>
      <c r="AO12" s="206">
        <f t="shared" ca="1" si="4"/>
        <v>29.623999999999999</v>
      </c>
      <c r="AP12" s="206">
        <f t="shared" ca="1" si="4"/>
        <v>30.809000000000001</v>
      </c>
      <c r="AQ12" s="206">
        <f t="shared" ca="1" si="4"/>
        <v>32.040999999999997</v>
      </c>
      <c r="AR12" s="206">
        <f ca="1">ROUND(Y12,3)</f>
        <v>33.323</v>
      </c>
      <c r="AS12" s="206">
        <f t="shared" ca="1" si="4"/>
        <v>34.655999999999999</v>
      </c>
    </row>
    <row r="13" spans="1:45" ht="18.75" customHeight="1">
      <c r="A13" s="180" t="s">
        <v>23</v>
      </c>
      <c r="B13" s="63" t="s">
        <v>115</v>
      </c>
      <c r="C13" s="173" t="str">
        <f t="shared" si="2"/>
        <v>CFF 2</v>
      </c>
      <c r="D13" s="59" t="s">
        <v>24</v>
      </c>
      <c r="E13" s="59"/>
      <c r="F13" s="251" t="s">
        <v>17</v>
      </c>
      <c r="G13" s="253">
        <f t="shared" ca="1" si="5"/>
        <v>3875.1720951372718</v>
      </c>
      <c r="H13" s="188">
        <f t="shared" ca="1" si="3"/>
        <v>4027.3203549222185</v>
      </c>
      <c r="I13" s="188">
        <f t="shared" ca="1" si="3"/>
        <v>4250.7860139010254</v>
      </c>
      <c r="J13" s="188"/>
      <c r="K13" s="188"/>
      <c r="L13" s="189"/>
      <c r="M13" s="47"/>
      <c r="N13" s="42"/>
      <c r="O13" s="217">
        <v>109.2</v>
      </c>
      <c r="P13" s="219" t="s">
        <v>144</v>
      </c>
      <c r="Q13" s="219" t="s">
        <v>150</v>
      </c>
      <c r="R13" s="219" t="s">
        <v>287</v>
      </c>
      <c r="S13" s="219" t="str">
        <f t="shared" si="0"/>
        <v>04420C</v>
      </c>
      <c r="T13" s="278" t="s">
        <v>24</v>
      </c>
      <c r="U13" s="276">
        <f ca="1">'January 1, 2025'!U13*IncrPerc2026*1.005</f>
        <v>35.486923948143513</v>
      </c>
      <c r="V13" s="276">
        <f ca="1">'January 1, 2025'!V13*IncrPerc2026*1.005</f>
        <v>36.880223030423245</v>
      </c>
      <c r="W13" s="276">
        <f ca="1">'January 1, 2025'!W13*IncrPerc2026*1</f>
        <v>38.92661184891049</v>
      </c>
      <c r="X13" s="276"/>
      <c r="Y13" s="276"/>
      <c r="Z13" s="276"/>
      <c r="AA13" s="280">
        <f ca="1">U13/'January 1, 2025'!U13</f>
        <v>1.0451999999999999</v>
      </c>
      <c r="AB13" s="280">
        <f ca="1">V13/'January 1, 2025'!V13</f>
        <v>1.0451999999999997</v>
      </c>
      <c r="AC13" s="280">
        <f ca="1">W13/'January 1, 2025'!W13</f>
        <v>1.04</v>
      </c>
      <c r="AD13" s="279"/>
      <c r="AE13" s="279"/>
      <c r="AF13" s="279"/>
      <c r="AK13" s="165" t="str">
        <f t="shared" si="6"/>
        <v>04420C</v>
      </c>
      <c r="AL13" s="165" t="str">
        <f t="shared" si="1"/>
        <v>CFF 2</v>
      </c>
      <c r="AM13" s="165" t="str">
        <f t="shared" si="7"/>
        <v>Fire Motor Operator</v>
      </c>
      <c r="AN13" s="206">
        <f t="shared" ca="1" si="8"/>
        <v>35.487000000000002</v>
      </c>
      <c r="AO13" s="206">
        <f t="shared" ca="1" si="4"/>
        <v>36.880000000000003</v>
      </c>
      <c r="AP13" s="206">
        <f t="shared" ca="1" si="4"/>
        <v>38.927</v>
      </c>
      <c r="AQ13" s="165"/>
      <c r="AR13" s="165"/>
      <c r="AS13" s="165"/>
    </row>
    <row r="14" spans="1:45" ht="18.75" customHeight="1">
      <c r="A14" s="180" t="s">
        <v>195</v>
      </c>
      <c r="B14" s="63" t="s">
        <v>115</v>
      </c>
      <c r="C14" s="173" t="str">
        <f t="shared" si="2"/>
        <v>CFG 2</v>
      </c>
      <c r="D14" s="59" t="s">
        <v>26</v>
      </c>
      <c r="E14" s="59"/>
      <c r="F14" s="251" t="s">
        <v>17</v>
      </c>
      <c r="G14" s="253">
        <f t="shared" ca="1" si="5"/>
        <v>3875.2063465633496</v>
      </c>
      <c r="H14" s="188">
        <f t="shared" ca="1" si="3"/>
        <v>4027.3805395709001</v>
      </c>
      <c r="I14" s="188">
        <f t="shared" ca="1" si="3"/>
        <v>4250.779684568558</v>
      </c>
      <c r="J14" s="188"/>
      <c r="K14" s="188"/>
      <c r="L14" s="189"/>
      <c r="M14" s="47"/>
      <c r="N14" s="42"/>
      <c r="O14" s="217">
        <v>80</v>
      </c>
      <c r="P14" s="219" t="s">
        <v>143</v>
      </c>
      <c r="Q14" s="219" t="s">
        <v>151</v>
      </c>
      <c r="R14" s="219" t="s">
        <v>287</v>
      </c>
      <c r="S14" s="219" t="str">
        <f t="shared" si="0"/>
        <v>04421C</v>
      </c>
      <c r="T14" s="278" t="s">
        <v>26</v>
      </c>
      <c r="U14" s="276">
        <f ca="1">'January 1, 2025'!U14*IncrPerc2026*1.005</f>
        <v>48.440079332041869</v>
      </c>
      <c r="V14" s="276">
        <f ca="1">'January 1, 2025'!V14*IncrPerc2026*1.005</f>
        <v>50.342256744636252</v>
      </c>
      <c r="W14" s="276">
        <f ca="1">'January 1, 2025'!W14*IncrPerc2026</f>
        <v>53.134746057106973</v>
      </c>
      <c r="X14" s="276"/>
      <c r="Y14" s="276"/>
      <c r="Z14" s="276"/>
      <c r="AA14" s="280">
        <f ca="1">U14/'January 1, 2025'!U14</f>
        <v>1.0452000000000001</v>
      </c>
      <c r="AB14" s="280">
        <f ca="1">V14/'January 1, 2025'!V14</f>
        <v>1.0451999999999999</v>
      </c>
      <c r="AC14" s="280">
        <f ca="1">W14/'January 1, 2025'!W14</f>
        <v>1.04</v>
      </c>
      <c r="AD14" s="279"/>
      <c r="AE14" s="279"/>
      <c r="AF14" s="279"/>
      <c r="AK14" s="165" t="str">
        <f t="shared" si="6"/>
        <v>04421C</v>
      </c>
      <c r="AL14" s="165" t="str">
        <f t="shared" si="1"/>
        <v>CFG 2</v>
      </c>
      <c r="AM14" s="165" t="str">
        <f t="shared" si="7"/>
        <v>Fire Motor Operator (40 hrs.)</v>
      </c>
      <c r="AN14" s="206">
        <f t="shared" ca="1" si="8"/>
        <v>48.44</v>
      </c>
      <c r="AO14" s="206">
        <f t="shared" ca="1" si="4"/>
        <v>50.341999999999999</v>
      </c>
      <c r="AP14" s="206">
        <f t="shared" ca="1" si="4"/>
        <v>53.134999999999998</v>
      </c>
      <c r="AQ14" s="165"/>
      <c r="AR14" s="165"/>
      <c r="AS14" s="165"/>
    </row>
    <row r="15" spans="1:45" ht="18.75" customHeight="1">
      <c r="A15" s="180" t="s">
        <v>27</v>
      </c>
      <c r="B15" s="63" t="s">
        <v>115</v>
      </c>
      <c r="C15" s="173" t="str">
        <f t="shared" si="2"/>
        <v>CFF 2</v>
      </c>
      <c r="D15" s="59" t="s">
        <v>28</v>
      </c>
      <c r="E15" s="59"/>
      <c r="F15" s="251" t="s">
        <v>17</v>
      </c>
      <c r="G15" s="253">
        <f t="shared" ca="1" si="5"/>
        <v>3875.1720951372718</v>
      </c>
      <c r="H15" s="188">
        <f t="shared" ca="1" si="3"/>
        <v>4027.3203549222185</v>
      </c>
      <c r="I15" s="188">
        <f t="shared" ca="1" si="3"/>
        <v>4250.7860139010254</v>
      </c>
      <c r="J15" s="188"/>
      <c r="K15" s="188"/>
      <c r="L15" s="189"/>
      <c r="M15" s="47"/>
      <c r="N15" s="42"/>
      <c r="O15" s="217">
        <v>109.2</v>
      </c>
      <c r="P15" s="219" t="s">
        <v>144</v>
      </c>
      <c r="Q15" s="219" t="s">
        <v>150</v>
      </c>
      <c r="R15" s="219" t="s">
        <v>287</v>
      </c>
      <c r="S15" s="219" t="str">
        <f t="shared" si="0"/>
        <v>04389C</v>
      </c>
      <c r="T15" s="278" t="s">
        <v>28</v>
      </c>
      <c r="U15" s="276">
        <f ca="1">'January 1, 2025'!U15*IncrPerc2026*1.005</f>
        <v>35.486923948143513</v>
      </c>
      <c r="V15" s="276">
        <f ca="1">'January 1, 2025'!V15*IncrPerc2026*1.005</f>
        <v>36.880223030423245</v>
      </c>
      <c r="W15" s="276">
        <f ca="1">'January 1, 2025'!W15*IncrPerc2026</f>
        <v>38.92661184891049</v>
      </c>
      <c r="X15" s="276"/>
      <c r="Y15" s="276"/>
      <c r="Z15" s="276"/>
      <c r="AA15" s="280">
        <f ca="1">U15/'January 1, 2025'!U15</f>
        <v>1.0451999999999999</v>
      </c>
      <c r="AB15" s="280">
        <f ca="1">V15/'January 1, 2025'!V15</f>
        <v>1.0451999999999997</v>
      </c>
      <c r="AC15" s="280">
        <f ca="1">W15/'January 1, 2025'!W15</f>
        <v>1.04</v>
      </c>
      <c r="AD15" s="279"/>
      <c r="AE15" s="279"/>
      <c r="AF15" s="279"/>
      <c r="AK15" s="165" t="str">
        <f t="shared" si="6"/>
        <v>04389C</v>
      </c>
      <c r="AL15" s="165" t="str">
        <f t="shared" si="1"/>
        <v>CFF 2</v>
      </c>
      <c r="AM15" s="165" t="str">
        <f t="shared" si="7"/>
        <v>Fire Inspector 2</v>
      </c>
      <c r="AN15" s="206">
        <f t="shared" ca="1" si="8"/>
        <v>35.487000000000002</v>
      </c>
      <c r="AO15" s="206">
        <f t="shared" ca="1" si="4"/>
        <v>36.880000000000003</v>
      </c>
      <c r="AP15" s="206">
        <f t="shared" ca="1" si="4"/>
        <v>38.927</v>
      </c>
      <c r="AQ15" s="165"/>
      <c r="AR15" s="165"/>
      <c r="AS15" s="165"/>
    </row>
    <row r="16" spans="1:45" ht="18.75" customHeight="1">
      <c r="A16" s="180" t="s">
        <v>29</v>
      </c>
      <c r="B16" s="63" t="s">
        <v>115</v>
      </c>
      <c r="C16" s="173" t="str">
        <f t="shared" si="2"/>
        <v>CFF 3</v>
      </c>
      <c r="D16" s="59" t="s">
        <v>30</v>
      </c>
      <c r="E16" s="59"/>
      <c r="F16" s="251" t="s">
        <v>17</v>
      </c>
      <c r="G16" s="253">
        <f t="shared" ca="1" si="5"/>
        <v>4370.6762294833625</v>
      </c>
      <c r="H16" s="188">
        <f t="shared" ca="1" si="3"/>
        <v>4543.9986697487366</v>
      </c>
      <c r="I16" s="188">
        <f t="shared" ca="1" si="3"/>
        <v>4822.0589036714073</v>
      </c>
      <c r="J16" s="188"/>
      <c r="K16" s="188"/>
      <c r="L16" s="189"/>
      <c r="M16" s="47"/>
      <c r="N16" s="42"/>
      <c r="O16" s="217">
        <v>109.2</v>
      </c>
      <c r="P16" s="219" t="s">
        <v>144</v>
      </c>
      <c r="Q16" s="219" t="s">
        <v>152</v>
      </c>
      <c r="R16" s="219" t="s">
        <v>287</v>
      </c>
      <c r="S16" s="219" t="str">
        <f t="shared" si="0"/>
        <v>04370C</v>
      </c>
      <c r="T16" s="217" t="s">
        <v>30</v>
      </c>
      <c r="U16" s="276">
        <f ca="1">'January 1, 2025'!U16*IncrPerc2026</f>
        <v>40.024507596001484</v>
      </c>
      <c r="V16" s="276">
        <f ca="1">'January 1, 2025'!V16*IncrPerc2026</f>
        <v>41.611709429933484</v>
      </c>
      <c r="W16" s="276">
        <f ca="1">'January 1, 2025'!W16*IncrPerc2026</f>
        <v>44.158048568419481</v>
      </c>
      <c r="X16" s="276"/>
      <c r="Y16" s="276"/>
      <c r="Z16" s="276"/>
      <c r="AA16" s="279">
        <f ca="1">U16/'January 1, 2025'!U16</f>
        <v>1.04</v>
      </c>
      <c r="AB16" s="279">
        <f ca="1">V16/'January 1, 2025'!V16</f>
        <v>1.04</v>
      </c>
      <c r="AC16" s="279">
        <f ca="1">W16/'January 1, 2025'!W16</f>
        <v>1.04</v>
      </c>
      <c r="AD16" s="279"/>
      <c r="AE16" s="279"/>
      <c r="AF16" s="279"/>
      <c r="AK16" s="165" t="str">
        <f t="shared" si="6"/>
        <v>04370C</v>
      </c>
      <c r="AL16" s="165" t="str">
        <f t="shared" si="1"/>
        <v>CFF 3</v>
      </c>
      <c r="AM16" s="165" t="str">
        <f t="shared" si="7"/>
        <v>Fire Captain</v>
      </c>
      <c r="AN16" s="206">
        <f t="shared" ca="1" si="8"/>
        <v>40.024999999999999</v>
      </c>
      <c r="AO16" s="206">
        <f t="shared" ca="1" si="4"/>
        <v>41.612000000000002</v>
      </c>
      <c r="AP16" s="206">
        <f t="shared" ca="1" si="4"/>
        <v>44.158000000000001</v>
      </c>
      <c r="AQ16" s="165"/>
      <c r="AR16" s="165"/>
      <c r="AS16" s="165"/>
    </row>
    <row r="17" spans="1:45" ht="18.75" customHeight="1">
      <c r="A17" s="180" t="s">
        <v>31</v>
      </c>
      <c r="B17" s="63" t="s">
        <v>115</v>
      </c>
      <c r="C17" s="173" t="str">
        <f t="shared" si="2"/>
        <v>CFG 3</v>
      </c>
      <c r="D17" s="59" t="s">
        <v>32</v>
      </c>
      <c r="E17" s="59"/>
      <c r="F17" s="251" t="s">
        <v>17</v>
      </c>
      <c r="G17" s="253">
        <f t="shared" ca="1" si="5"/>
        <v>4370.6475040513988</v>
      </c>
      <c r="H17" s="188">
        <f t="shared" ca="1" si="3"/>
        <v>4543.9738392905983</v>
      </c>
      <c r="I17" s="188">
        <f t="shared" ca="1" si="3"/>
        <v>4822.074970438438</v>
      </c>
      <c r="J17" s="188"/>
      <c r="K17" s="188"/>
      <c r="L17" s="189"/>
      <c r="M17" s="47"/>
      <c r="N17" s="42"/>
      <c r="O17" s="217">
        <v>80</v>
      </c>
      <c r="P17" s="219" t="s">
        <v>143</v>
      </c>
      <c r="Q17" s="219" t="s">
        <v>153</v>
      </c>
      <c r="R17" s="219" t="s">
        <v>287</v>
      </c>
      <c r="S17" s="219" t="str">
        <f t="shared" si="0"/>
        <v>04371C</v>
      </c>
      <c r="T17" s="217" t="s">
        <v>32</v>
      </c>
      <c r="U17" s="276">
        <f ca="1">'January 1, 2025'!U17*IncrPerc2026</f>
        <v>54.633093800642484</v>
      </c>
      <c r="V17" s="276">
        <f ca="1">'January 1, 2025'!V17*IncrPerc2026</f>
        <v>56.799672991132475</v>
      </c>
      <c r="W17" s="276">
        <f ca="1">'January 1, 2025'!W17*IncrPerc2026</f>
        <v>60.275937130480479</v>
      </c>
      <c r="X17" s="276"/>
      <c r="Y17" s="276"/>
      <c r="Z17" s="276"/>
      <c r="AA17" s="279">
        <f ca="1">U17/'January 1, 2025'!U17</f>
        <v>1.04</v>
      </c>
      <c r="AB17" s="279">
        <f ca="1">V17/'January 1, 2025'!V17</f>
        <v>1.04</v>
      </c>
      <c r="AC17" s="279">
        <f ca="1">W17/'January 1, 2025'!W17</f>
        <v>1.04</v>
      </c>
      <c r="AD17" s="279"/>
      <c r="AE17" s="279"/>
      <c r="AF17" s="279"/>
      <c r="AK17" s="165" t="str">
        <f t="shared" si="6"/>
        <v>04371C</v>
      </c>
      <c r="AL17" s="165" t="str">
        <f t="shared" si="1"/>
        <v>CFG 3</v>
      </c>
      <c r="AM17" s="165" t="str">
        <f t="shared" si="7"/>
        <v>Fire Captain (40 hrs.)</v>
      </c>
      <c r="AN17" s="206">
        <f t="shared" ca="1" si="8"/>
        <v>54.633000000000003</v>
      </c>
      <c r="AO17" s="206">
        <f t="shared" ca="1" si="4"/>
        <v>56.8</v>
      </c>
      <c r="AP17" s="206">
        <f t="shared" ca="1" si="4"/>
        <v>60.276000000000003</v>
      </c>
      <c r="AQ17" s="165"/>
      <c r="AR17" s="165"/>
      <c r="AS17" s="165"/>
    </row>
    <row r="18" spans="1:45" ht="18.75" customHeight="1">
      <c r="A18" s="180" t="s">
        <v>33</v>
      </c>
      <c r="B18" s="63" t="s">
        <v>115</v>
      </c>
      <c r="C18" s="173" t="str">
        <f t="shared" si="2"/>
        <v>CFF 3</v>
      </c>
      <c r="D18" s="59" t="s">
        <v>34</v>
      </c>
      <c r="E18" s="59"/>
      <c r="F18" s="251" t="s">
        <v>17</v>
      </c>
      <c r="G18" s="253">
        <f t="shared" ca="1" si="5"/>
        <v>4370.6762294833625</v>
      </c>
      <c r="H18" s="188">
        <f t="shared" ca="1" si="3"/>
        <v>4543.9986697487366</v>
      </c>
      <c r="I18" s="188">
        <f t="shared" ca="1" si="3"/>
        <v>4822.0589036714073</v>
      </c>
      <c r="J18" s="188"/>
      <c r="K18" s="188"/>
      <c r="L18" s="189"/>
      <c r="M18" s="47"/>
      <c r="N18" s="42"/>
      <c r="O18" s="217">
        <v>109.2</v>
      </c>
      <c r="P18" s="219" t="s">
        <v>144</v>
      </c>
      <c r="Q18" s="219" t="s">
        <v>152</v>
      </c>
      <c r="R18" s="219" t="s">
        <v>287</v>
      </c>
      <c r="S18" s="219" t="str">
        <f t="shared" si="0"/>
        <v>04400C</v>
      </c>
      <c r="T18" s="217" t="s">
        <v>34</v>
      </c>
      <c r="U18" s="276">
        <f ca="1">'January 1, 2025'!U18*IncrPerc2026</f>
        <v>40.024507596001484</v>
      </c>
      <c r="V18" s="276">
        <f ca="1">'January 1, 2025'!V18*IncrPerc2026</f>
        <v>41.611709429933484</v>
      </c>
      <c r="W18" s="276">
        <f ca="1">'January 1, 2025'!W18*IncrPerc2026</f>
        <v>44.158048568419481</v>
      </c>
      <c r="X18" s="276"/>
      <c r="Y18" s="276"/>
      <c r="Z18" s="276"/>
      <c r="AA18" s="279">
        <f ca="1">U18/'January 1, 2025'!U18</f>
        <v>1.04</v>
      </c>
      <c r="AB18" s="279">
        <f ca="1">V18/'January 1, 2025'!V18</f>
        <v>1.04</v>
      </c>
      <c r="AC18" s="279">
        <f ca="1">W18/'January 1, 2025'!W18</f>
        <v>1.04</v>
      </c>
      <c r="AD18" s="279"/>
      <c r="AE18" s="279"/>
      <c r="AF18" s="279"/>
      <c r="AK18" s="165" t="str">
        <f t="shared" si="6"/>
        <v>04400C</v>
      </c>
      <c r="AL18" s="165" t="str">
        <f t="shared" si="1"/>
        <v>CFF 3</v>
      </c>
      <c r="AM18" s="165" t="str">
        <f t="shared" si="7"/>
        <v>Fire Investigator</v>
      </c>
      <c r="AN18" s="206">
        <f t="shared" ca="1" si="8"/>
        <v>40.024999999999999</v>
      </c>
      <c r="AO18" s="206">
        <f t="shared" ca="1" si="4"/>
        <v>41.612000000000002</v>
      </c>
      <c r="AP18" s="206">
        <f t="shared" ca="1" si="4"/>
        <v>44.158000000000001</v>
      </c>
      <c r="AQ18" s="165"/>
      <c r="AR18" s="165"/>
      <c r="AS18" s="165"/>
    </row>
    <row r="19" spans="1:45" ht="18.75" customHeight="1">
      <c r="A19" s="180" t="s">
        <v>35</v>
      </c>
      <c r="B19" s="63" t="s">
        <v>115</v>
      </c>
      <c r="C19" s="173" t="str">
        <f t="shared" si="2"/>
        <v>CFG 3</v>
      </c>
      <c r="D19" s="59" t="s">
        <v>36</v>
      </c>
      <c r="E19" s="59"/>
      <c r="F19" s="251" t="s">
        <v>17</v>
      </c>
      <c r="G19" s="253">
        <f t="shared" ca="1" si="5"/>
        <v>4370.6475040513988</v>
      </c>
      <c r="H19" s="188">
        <f t="shared" ca="1" si="3"/>
        <v>4543.9738392905983</v>
      </c>
      <c r="I19" s="188">
        <f t="shared" ca="1" si="3"/>
        <v>4822.074970438438</v>
      </c>
      <c r="J19" s="188"/>
      <c r="K19" s="188"/>
      <c r="L19" s="189"/>
      <c r="M19" s="47"/>
      <c r="N19" s="42"/>
      <c r="O19" s="217">
        <v>80</v>
      </c>
      <c r="P19" s="219" t="s">
        <v>143</v>
      </c>
      <c r="Q19" s="219" t="s">
        <v>153</v>
      </c>
      <c r="R19" s="219" t="s">
        <v>287</v>
      </c>
      <c r="S19" s="219" t="str">
        <f t="shared" si="0"/>
        <v>04401C</v>
      </c>
      <c r="T19" s="217" t="s">
        <v>36</v>
      </c>
      <c r="U19" s="276">
        <f ca="1">'January 1, 2025'!U19*IncrPerc2026</f>
        <v>54.633093800642484</v>
      </c>
      <c r="V19" s="276">
        <f ca="1">'January 1, 2025'!V19*IncrPerc2026</f>
        <v>56.799672991132475</v>
      </c>
      <c r="W19" s="276">
        <f ca="1">'January 1, 2025'!W19*IncrPerc2026</f>
        <v>60.275937130480479</v>
      </c>
      <c r="X19" s="276"/>
      <c r="Y19" s="276"/>
      <c r="Z19" s="276"/>
      <c r="AA19" s="279">
        <f ca="1">U19/'January 1, 2025'!U19</f>
        <v>1.04</v>
      </c>
      <c r="AB19" s="279">
        <f ca="1">V19/'January 1, 2025'!V19</f>
        <v>1.04</v>
      </c>
      <c r="AC19" s="279">
        <f ca="1">W19/'January 1, 2025'!W19</f>
        <v>1.04</v>
      </c>
      <c r="AD19" s="279"/>
      <c r="AE19" s="279"/>
      <c r="AF19" s="279"/>
      <c r="AK19" s="165" t="str">
        <f t="shared" si="6"/>
        <v>04401C</v>
      </c>
      <c r="AL19" s="165" t="str">
        <f t="shared" si="1"/>
        <v>CFG 3</v>
      </c>
      <c r="AM19" s="165" t="str">
        <f t="shared" si="7"/>
        <v>Fire Investigator (40 hrs.)</v>
      </c>
      <c r="AN19" s="206">
        <f t="shared" ca="1" si="8"/>
        <v>54.633000000000003</v>
      </c>
      <c r="AO19" s="206">
        <f t="shared" ca="1" si="4"/>
        <v>56.8</v>
      </c>
      <c r="AP19" s="206">
        <f t="shared" ca="1" si="4"/>
        <v>60.276000000000003</v>
      </c>
      <c r="AQ19" s="165"/>
      <c r="AR19" s="165"/>
      <c r="AS19" s="165"/>
    </row>
    <row r="20" spans="1:45" ht="18.75" customHeight="1">
      <c r="A20" s="180" t="s">
        <v>37</v>
      </c>
      <c r="B20" s="63" t="s">
        <v>115</v>
      </c>
      <c r="C20" s="173" t="str">
        <f t="shared" si="2"/>
        <v>CFF 3</v>
      </c>
      <c r="D20" s="59" t="s">
        <v>38</v>
      </c>
      <c r="E20" s="59"/>
      <c r="F20" s="251" t="s">
        <v>17</v>
      </c>
      <c r="G20" s="253">
        <f t="shared" ca="1" si="5"/>
        <v>4370.6762294833625</v>
      </c>
      <c r="H20" s="188">
        <f t="shared" ca="1" si="3"/>
        <v>4543.9986697487366</v>
      </c>
      <c r="I20" s="188">
        <f t="shared" ca="1" si="3"/>
        <v>4822.0589036714073</v>
      </c>
      <c r="J20" s="188"/>
      <c r="K20" s="188"/>
      <c r="L20" s="189"/>
      <c r="M20" s="47"/>
      <c r="N20" s="42"/>
      <c r="O20" s="217">
        <v>109.2</v>
      </c>
      <c r="P20" s="219" t="s">
        <v>144</v>
      </c>
      <c r="Q20" s="219" t="s">
        <v>152</v>
      </c>
      <c r="R20" s="219" t="s">
        <v>287</v>
      </c>
      <c r="S20" s="219" t="str">
        <f t="shared" si="0"/>
        <v>04390C</v>
      </c>
      <c r="T20" s="217" t="s">
        <v>38</v>
      </c>
      <c r="U20" s="276">
        <f ca="1">'January 1, 2025'!U20*IncrPerc2026</f>
        <v>40.024507596001484</v>
      </c>
      <c r="V20" s="276">
        <f ca="1">'January 1, 2025'!V20*IncrPerc2026</f>
        <v>41.611709429933484</v>
      </c>
      <c r="W20" s="276">
        <f ca="1">'January 1, 2025'!W20*IncrPerc2026</f>
        <v>44.158048568419481</v>
      </c>
      <c r="X20" s="276"/>
      <c r="Y20" s="276"/>
      <c r="Z20" s="276"/>
      <c r="AA20" s="279">
        <f ca="1">U20/'January 1, 2025'!U20</f>
        <v>1.04</v>
      </c>
      <c r="AB20" s="279">
        <f ca="1">V20/'January 1, 2025'!V20</f>
        <v>1.04</v>
      </c>
      <c r="AC20" s="279">
        <f ca="1">W20/'January 1, 2025'!W20</f>
        <v>1.04</v>
      </c>
      <c r="AD20" s="279"/>
      <c r="AE20" s="279"/>
      <c r="AF20" s="279"/>
      <c r="AK20" s="165" t="str">
        <f t="shared" si="6"/>
        <v>04390C</v>
      </c>
      <c r="AL20" s="165" t="str">
        <f t="shared" si="1"/>
        <v>CFF 3</v>
      </c>
      <c r="AM20" s="165" t="str">
        <f t="shared" si="7"/>
        <v>Fire Inspector 3</v>
      </c>
      <c r="AN20" s="206">
        <f t="shared" ca="1" si="8"/>
        <v>40.024999999999999</v>
      </c>
      <c r="AO20" s="206">
        <f t="shared" ca="1" si="4"/>
        <v>41.612000000000002</v>
      </c>
      <c r="AP20" s="206">
        <f t="shared" ca="1" si="4"/>
        <v>44.158000000000001</v>
      </c>
      <c r="AQ20" s="165"/>
      <c r="AR20" s="165"/>
      <c r="AS20" s="165"/>
    </row>
    <row r="21" spans="1:45" ht="18.75" customHeight="1">
      <c r="A21" s="180" t="s">
        <v>41</v>
      </c>
      <c r="B21" s="63" t="s">
        <v>115</v>
      </c>
      <c r="C21" s="173" t="str">
        <f t="shared" si="2"/>
        <v>CFF 4</v>
      </c>
      <c r="D21" s="65" t="s">
        <v>113</v>
      </c>
      <c r="E21" s="59"/>
      <c r="F21" s="251" t="s">
        <v>17</v>
      </c>
      <c r="G21" s="253">
        <f t="shared" ca="1" si="5"/>
        <v>4473.2873674318826</v>
      </c>
      <c r="H21" s="188">
        <f t="shared" ca="1" si="3"/>
        <v>4549.0494770570831</v>
      </c>
      <c r="I21" s="188">
        <f t="shared" ca="1" si="3"/>
        <v>4626.4065784638688</v>
      </c>
      <c r="J21" s="188">
        <f t="shared" ca="1" si="3"/>
        <v>4703.7636798706535</v>
      </c>
      <c r="K21" s="188">
        <f t="shared" ca="1" si="3"/>
        <v>4990.7292845738302</v>
      </c>
      <c r="L21" s="189"/>
      <c r="M21" s="47"/>
      <c r="N21" s="42"/>
      <c r="O21" s="217">
        <v>109.2</v>
      </c>
      <c r="P21" s="219" t="s">
        <v>144</v>
      </c>
      <c r="Q21" s="219" t="s">
        <v>154</v>
      </c>
      <c r="R21" s="219" t="s">
        <v>287</v>
      </c>
      <c r="S21" s="219" t="str">
        <f t="shared" si="0"/>
        <v>04436C</v>
      </c>
      <c r="T21" s="221" t="s">
        <v>113</v>
      </c>
      <c r="U21" s="276">
        <f ca="1">'January 1, 2025'!U21*IncrPerc2026</f>
        <v>40.964170031427493</v>
      </c>
      <c r="V21" s="276">
        <f ca="1">'January 1, 2025'!V21*IncrPerc2026</f>
        <v>41.657962244112483</v>
      </c>
      <c r="W21" s="276">
        <f ca="1">'January 1, 2025'!W21*IncrPerc2026</f>
        <v>42.366360608643483</v>
      </c>
      <c r="X21" s="276">
        <f ca="1">'January 1, 2025'!X21*IncrPerc2026</f>
        <v>43.074758973174482</v>
      </c>
      <c r="Y21" s="276">
        <f ca="1">'January 1, 2025'!Y21*IncrPerc2026</f>
        <v>45.702649126133977</v>
      </c>
      <c r="Z21" s="276"/>
      <c r="AA21" s="279">
        <f ca="1">U21/'January 1, 2025'!U21</f>
        <v>1.04</v>
      </c>
      <c r="AB21" s="279">
        <f ca="1">V21/'January 1, 2025'!V21</f>
        <v>1.04</v>
      </c>
      <c r="AC21" s="279">
        <f ca="1">W21/'January 1, 2025'!W21</f>
        <v>1.04</v>
      </c>
      <c r="AD21" s="279">
        <f ca="1">X21/'January 1, 2025'!X21</f>
        <v>1.04</v>
      </c>
      <c r="AE21" s="279">
        <f ca="1">Y21/'January 1, 2025'!Y21</f>
        <v>1.04</v>
      </c>
      <c r="AF21" s="279"/>
      <c r="AK21" s="165" t="str">
        <f t="shared" si="6"/>
        <v>04436C</v>
      </c>
      <c r="AL21" s="165" t="str">
        <f t="shared" si="1"/>
        <v>CFF 4</v>
      </c>
      <c r="AM21" s="165" t="str">
        <f t="shared" si="7"/>
        <v xml:space="preserve">Fire Staff Captain </v>
      </c>
      <c r="AN21" s="206">
        <f t="shared" ca="1" si="8"/>
        <v>40.963999999999999</v>
      </c>
      <c r="AO21" s="206">
        <f t="shared" ca="1" si="4"/>
        <v>41.658000000000001</v>
      </c>
      <c r="AP21" s="206">
        <f t="shared" ca="1" si="4"/>
        <v>42.366</v>
      </c>
      <c r="AQ21" s="206">
        <f t="shared" ca="1" si="4"/>
        <v>43.075000000000003</v>
      </c>
      <c r="AR21" s="206">
        <f ca="1">ROUND(Y21,3)</f>
        <v>45.703000000000003</v>
      </c>
      <c r="AS21" s="165"/>
    </row>
    <row r="22" spans="1:45" ht="18.75" customHeight="1" thickBot="1">
      <c r="A22" s="181" t="s">
        <v>39</v>
      </c>
      <c r="B22" s="182" t="s">
        <v>115</v>
      </c>
      <c r="C22" s="182" t="str">
        <f t="shared" si="2"/>
        <v>CFG 4</v>
      </c>
      <c r="D22" s="183" t="s">
        <v>42</v>
      </c>
      <c r="E22" s="184"/>
      <c r="F22" s="252" t="s">
        <v>17</v>
      </c>
      <c r="G22" s="254">
        <f t="shared" ca="1" si="5"/>
        <v>4473.2800643559585</v>
      </c>
      <c r="H22" s="190">
        <f t="shared" ca="1" si="3"/>
        <v>4549.0373052638788</v>
      </c>
      <c r="I22" s="190">
        <f t="shared" ca="1" si="3"/>
        <v>4626.4499100476778</v>
      </c>
      <c r="J22" s="190">
        <f t="shared" ca="1" si="3"/>
        <v>4703.7651404858379</v>
      </c>
      <c r="K22" s="190">
        <f t="shared" ca="1" si="3"/>
        <v>4990.7273370869179</v>
      </c>
      <c r="L22" s="191"/>
      <c r="M22" s="47"/>
      <c r="N22" s="42"/>
      <c r="O22" s="217">
        <v>80</v>
      </c>
      <c r="P22" s="219" t="s">
        <v>143</v>
      </c>
      <c r="Q22" s="219" t="s">
        <v>155</v>
      </c>
      <c r="R22" s="219" t="s">
        <v>287</v>
      </c>
      <c r="S22" s="219" t="str">
        <f t="shared" si="0"/>
        <v>04435C</v>
      </c>
      <c r="T22" s="217" t="s">
        <v>42</v>
      </c>
      <c r="U22" s="276">
        <f ca="1">'January 1, 2025'!U22*IncrPerc2026</f>
        <v>55.916000804449482</v>
      </c>
      <c r="V22" s="276">
        <f ca="1">'January 1, 2025'!V22*IncrPerc2026</f>
        <v>56.862966315798481</v>
      </c>
      <c r="W22" s="276">
        <f ca="1">'January 1, 2025'!W22*IncrPerc2026</f>
        <v>57.830623875595975</v>
      </c>
      <c r="X22" s="276">
        <f ca="1">'January 1, 2025'!X22*IncrPerc2026</f>
        <v>58.797064256072971</v>
      </c>
      <c r="Y22" s="276">
        <f ca="1">'January 1, 2025'!Y22*IncrPerc2026</f>
        <v>62.384091713586479</v>
      </c>
      <c r="Z22" s="276"/>
      <c r="AA22" s="279">
        <f ca="1">U22/'January 1, 2025'!U22</f>
        <v>1.04</v>
      </c>
      <c r="AB22" s="279">
        <f ca="1">V22/'January 1, 2025'!V22</f>
        <v>1.04</v>
      </c>
      <c r="AC22" s="279">
        <f ca="1">W22/'January 1, 2025'!W22</f>
        <v>1.04</v>
      </c>
      <c r="AD22" s="279">
        <f ca="1">X22/'January 1, 2025'!X22</f>
        <v>1.04</v>
      </c>
      <c r="AE22" s="279">
        <f ca="1">Y22/'January 1, 2025'!Y22</f>
        <v>1.04</v>
      </c>
      <c r="AF22" s="279"/>
      <c r="AK22" s="165" t="str">
        <f t="shared" si="6"/>
        <v>04435C</v>
      </c>
      <c r="AL22" s="165" t="str">
        <f t="shared" si="1"/>
        <v>CFG 4</v>
      </c>
      <c r="AM22" s="165" t="str">
        <f t="shared" si="7"/>
        <v>Fire Staff Captain (40 hrs.)</v>
      </c>
      <c r="AN22" s="206">
        <f t="shared" ca="1" si="8"/>
        <v>55.915999999999997</v>
      </c>
      <c r="AO22" s="206">
        <f t="shared" ca="1" si="4"/>
        <v>56.863</v>
      </c>
      <c r="AP22" s="206">
        <f t="shared" ca="1" si="4"/>
        <v>57.831000000000003</v>
      </c>
      <c r="AQ22" s="206">
        <f t="shared" ca="1" si="4"/>
        <v>58.796999999999997</v>
      </c>
      <c r="AR22" s="206">
        <f ca="1">ROUND(Y22,3)</f>
        <v>62.384</v>
      </c>
      <c r="AS22" s="165"/>
    </row>
    <row r="23" spans="1:45" ht="18.75" customHeight="1">
      <c r="A23"/>
      <c r="B23"/>
      <c r="C23"/>
      <c r="D23"/>
      <c r="E23"/>
      <c r="F23"/>
      <c r="G23"/>
      <c r="H23"/>
      <c r="I23"/>
      <c r="J23"/>
      <c r="K23"/>
      <c r="L23"/>
      <c r="M23" s="47"/>
      <c r="N23" s="42"/>
      <c r="O23" s="217">
        <v>109.2</v>
      </c>
      <c r="P23" s="219" t="s">
        <v>284</v>
      </c>
      <c r="Q23" s="219" t="s">
        <v>235</v>
      </c>
      <c r="R23" s="219" t="s">
        <v>287</v>
      </c>
      <c r="S23" s="219" t="s">
        <v>280</v>
      </c>
      <c r="T23" s="217" t="s">
        <v>298</v>
      </c>
      <c r="U23" s="276">
        <f ca="1">'January 1, 2025'!U23*IncrPerc2026</f>
        <v>28.484430458340995</v>
      </c>
      <c r="V23" s="276">
        <f ca="1">'January 1, 2025'!V23*IncrPerc2026</f>
        <v>29.623710302328991</v>
      </c>
      <c r="W23" s="276">
        <f ca="1">'January 1, 2025'!W23*IncrPerc2026</f>
        <v>30.80924296049599</v>
      </c>
      <c r="X23" s="276">
        <f ca="1">'January 1, 2025'!X23*IncrPerc2026</f>
        <v>32.041028432841991</v>
      </c>
      <c r="Y23" s="276">
        <f ca="1">'January 1, 2025'!Y23*IncrPerc2026</f>
        <v>33.322718257328489</v>
      </c>
      <c r="Z23" s="276">
        <f ca="1">'January 1, 2025'!Z23*IncrPerc2026</f>
        <v>34.655529613275988</v>
      </c>
      <c r="AA23" s="279">
        <f ca="1">U23/'January 1, 2025'!U23</f>
        <v>1.04</v>
      </c>
      <c r="AB23" s="279">
        <f ca="1">V23/'January 1, 2025'!V23</f>
        <v>1.04</v>
      </c>
      <c r="AC23" s="279">
        <f ca="1">W23/'January 1, 2025'!W23</f>
        <v>1.04</v>
      </c>
      <c r="AD23" s="279">
        <f ca="1">X23/'January 1, 2025'!X23</f>
        <v>1.04</v>
      </c>
      <c r="AE23" s="279">
        <f ca="1">Y23/'January 1, 2025'!Y23</f>
        <v>1.04</v>
      </c>
      <c r="AF23" s="279"/>
      <c r="AK23" s="165" t="str">
        <f t="shared" si="6"/>
        <v>04452C</v>
      </c>
      <c r="AL23" s="165" t="str">
        <f>Q23</f>
        <v>CFH 1</v>
      </c>
      <c r="AM23" s="165" t="str">
        <f t="shared" si="7"/>
        <v>Firerighter Bell Curve-C*</v>
      </c>
      <c r="AN23" s="206">
        <f t="shared" ca="1" si="8"/>
        <v>28.484000000000002</v>
      </c>
      <c r="AO23" s="206">
        <f t="shared" ca="1" si="4"/>
        <v>29.623999999999999</v>
      </c>
      <c r="AP23" s="206">
        <f t="shared" ca="1" si="4"/>
        <v>30.809000000000001</v>
      </c>
      <c r="AQ23" s="206">
        <f t="shared" ca="1" si="4"/>
        <v>32.040999999999997</v>
      </c>
      <c r="AR23" s="206">
        <f t="shared" ca="1" si="4"/>
        <v>33.323</v>
      </c>
      <c r="AS23" s="206">
        <f t="shared" ca="1" si="4"/>
        <v>34.655999999999999</v>
      </c>
    </row>
    <row r="24" spans="1:45" ht="27.75" customHeight="1">
      <c r="A24" s="41" t="s">
        <v>303</v>
      </c>
      <c r="C24" s="46"/>
      <c r="G24" s="46"/>
      <c r="H24" s="46"/>
      <c r="I24" s="46"/>
      <c r="J24" s="46"/>
      <c r="K24" s="46"/>
      <c r="L24" s="46"/>
      <c r="M24" s="46"/>
      <c r="T24" s="211" t="s">
        <v>299</v>
      </c>
      <c r="AM24" s="205" t="s">
        <v>299</v>
      </c>
    </row>
    <row r="25" spans="1:45" ht="17.25" customHeight="1">
      <c r="A25" s="50" t="s">
        <v>50</v>
      </c>
      <c r="C25" s="46"/>
      <c r="G25" s="46"/>
      <c r="H25" s="46"/>
      <c r="I25" s="46"/>
      <c r="J25" s="46"/>
      <c r="K25" s="46"/>
      <c r="L25" s="46"/>
      <c r="M25" s="46"/>
    </row>
    <row r="26" spans="1:45" ht="17.25" customHeight="1">
      <c r="A26" s="42" t="s">
        <v>51</v>
      </c>
      <c r="C26" s="46"/>
      <c r="G26" s="46"/>
      <c r="H26" s="46"/>
      <c r="I26" s="46"/>
      <c r="J26" s="46"/>
      <c r="K26" s="46"/>
      <c r="L26" s="46"/>
      <c r="M26" s="46"/>
    </row>
    <row r="27" spans="1:45" ht="17.25" customHeight="1">
      <c r="A27" s="50" t="s">
        <v>52</v>
      </c>
      <c r="B27" s="46"/>
      <c r="C27" s="46"/>
    </row>
    <row r="28" spans="1:45" ht="17.25" customHeight="1">
      <c r="A28" s="50"/>
      <c r="B28" s="46"/>
      <c r="C28" s="46"/>
      <c r="P28" s="210"/>
      <c r="Q28" s="210"/>
      <c r="R28" s="210"/>
      <c r="S28" s="222"/>
      <c r="U28" s="286" t="s">
        <v>278</v>
      </c>
      <c r="V28" s="287"/>
      <c r="W28" s="210"/>
    </row>
    <row r="29" spans="1:45" ht="27.75" customHeight="1">
      <c r="A29" s="41" t="s">
        <v>136</v>
      </c>
      <c r="B29" s="42" t="s">
        <v>160</v>
      </c>
      <c r="P29" s="210"/>
      <c r="Q29" s="210"/>
      <c r="R29" s="268" t="s">
        <v>286</v>
      </c>
      <c r="S29" s="269" t="s">
        <v>297</v>
      </c>
      <c r="T29" s="264"/>
      <c r="U29" s="216" t="s">
        <v>230</v>
      </c>
      <c r="V29" s="216" t="s">
        <v>231</v>
      </c>
      <c r="W29" s="210"/>
      <c r="AK29" s="207" t="str">
        <f t="shared" ref="AK29:AK48" si="9">S29</f>
        <v>Description</v>
      </c>
      <c r="AL29" s="165"/>
      <c r="AM29" s="165"/>
      <c r="AN29" s="208" t="str">
        <f>U29</f>
        <v>CFF/109.2</v>
      </c>
      <c r="AO29" s="208" t="str">
        <f>V29</f>
        <v>CFG/80</v>
      </c>
    </row>
    <row r="30" spans="1:45" ht="17.25" customHeight="1">
      <c r="A30" s="56">
        <f t="shared" ref="A30:A48" ca="1" si="10">T30</f>
        <v>21.06328333311092</v>
      </c>
      <c r="B30" s="52" t="s">
        <v>161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40"/>
      <c r="P30" s="210"/>
      <c r="Q30" s="210"/>
      <c r="R30" s="219" t="s">
        <v>287</v>
      </c>
      <c r="S30" s="227" t="str">
        <f t="shared" ref="S30:S48" si="11">"Non FF "&amp;B30</f>
        <v>Non FF  7th year of service</v>
      </c>
      <c r="T30" s="265">
        <f ca="1">'January 1, 2025'!T30*'January 1, 2026'!IncrPerc2025</f>
        <v>21.06328333311092</v>
      </c>
      <c r="U30" s="220">
        <f ca="1">T30/109.2</f>
        <v>0.19288721001017325</v>
      </c>
      <c r="V30" s="220">
        <f ca="1">T30/80</f>
        <v>0.2632910416638865</v>
      </c>
      <c r="W30" s="224"/>
      <c r="AA30" s="281">
        <f ca="1">T30/'January 1, 2025'!T30</f>
        <v>1.04</v>
      </c>
      <c r="AB30" s="281">
        <f ca="1">U30/'January 1, 2025'!U30</f>
        <v>1.04</v>
      </c>
      <c r="AC30" s="281">
        <f ca="1">V30/'January 1, 2025'!V30</f>
        <v>1.04</v>
      </c>
      <c r="AD30" s="281"/>
      <c r="AE30" s="281"/>
      <c r="AF30" s="281"/>
      <c r="AK30" s="165" t="str">
        <f t="shared" si="9"/>
        <v>Non FF  7th year of service</v>
      </c>
      <c r="AL30" s="165"/>
      <c r="AM30" s="165"/>
      <c r="AN30" s="206">
        <f t="shared" ref="AN30:AO45" ca="1" si="12">ROUND(U30,3)</f>
        <v>0.193</v>
      </c>
      <c r="AO30" s="206">
        <f t="shared" ca="1" si="12"/>
        <v>0.26300000000000001</v>
      </c>
    </row>
    <row r="31" spans="1:45" ht="17.25" customHeight="1">
      <c r="A31" s="56">
        <f t="shared" ca="1" si="10"/>
        <v>29.874068518202993</v>
      </c>
      <c r="B31" s="52" t="s">
        <v>162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40"/>
      <c r="P31" s="210"/>
      <c r="Q31" s="210"/>
      <c r="R31" s="219" t="s">
        <v>287</v>
      </c>
      <c r="S31" s="227" t="str">
        <f t="shared" si="11"/>
        <v>Non FF  8th year of service</v>
      </c>
      <c r="T31" s="265">
        <f ca="1">'January 1, 2025'!T31*'January 1, 2026'!IncrPerc2025</f>
        <v>29.874068518202993</v>
      </c>
      <c r="U31" s="220">
        <f t="shared" ref="U31:U48" ca="1" si="13">T31/109.2</f>
        <v>0.27357205602749995</v>
      </c>
      <c r="V31" s="220">
        <f t="shared" ref="V31:V48" ca="1" si="14">T31/80</f>
        <v>0.3734258564775374</v>
      </c>
      <c r="W31" s="224"/>
      <c r="Y31" s="225"/>
      <c r="AA31" s="281">
        <f ca="1">T31/'January 1, 2025'!T31</f>
        <v>1.04</v>
      </c>
      <c r="AB31" s="281">
        <f ca="1">U31/'January 1, 2025'!U31</f>
        <v>1.0400000000000003</v>
      </c>
      <c r="AC31" s="281">
        <f ca="1">V31/'January 1, 2025'!V31</f>
        <v>1.04</v>
      </c>
      <c r="AD31" s="281"/>
      <c r="AE31" s="281"/>
      <c r="AF31" s="281"/>
      <c r="AK31" s="165" t="str">
        <f t="shared" si="9"/>
        <v>Non FF  8th year of service</v>
      </c>
      <c r="AL31" s="165"/>
      <c r="AM31" s="165"/>
      <c r="AN31" s="206">
        <f t="shared" ca="1" si="12"/>
        <v>0.27400000000000002</v>
      </c>
      <c r="AO31" s="206">
        <f t="shared" ca="1" si="12"/>
        <v>0.373</v>
      </c>
    </row>
    <row r="32" spans="1:45" ht="17.25" customHeight="1">
      <c r="A32" s="56">
        <f t="shared" ca="1" si="10"/>
        <v>38.684853703295182</v>
      </c>
      <c r="B32" s="52" t="s">
        <v>163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40"/>
      <c r="P32" s="210"/>
      <c r="Q32" s="210"/>
      <c r="R32" s="219" t="s">
        <v>287</v>
      </c>
      <c r="S32" s="227" t="str">
        <f t="shared" si="11"/>
        <v>Non FF  9th year of service</v>
      </c>
      <c r="T32" s="265">
        <f ca="1">'January 1, 2025'!T32*'January 1, 2026'!IncrPerc2025</f>
        <v>38.684853703295182</v>
      </c>
      <c r="U32" s="220">
        <f t="shared" ca="1" si="13"/>
        <v>0.35425690204482768</v>
      </c>
      <c r="V32" s="220">
        <f t="shared" ca="1" si="14"/>
        <v>0.48356067129118979</v>
      </c>
      <c r="W32" s="224"/>
      <c r="Y32" s="225"/>
      <c r="AA32" s="281">
        <f ca="1">T32/'January 1, 2025'!T32</f>
        <v>1.04</v>
      </c>
      <c r="AB32" s="281">
        <f ca="1">U32/'January 1, 2025'!U32</f>
        <v>1.04</v>
      </c>
      <c r="AC32" s="281">
        <f ca="1">V32/'January 1, 2025'!V32</f>
        <v>1.04</v>
      </c>
      <c r="AK32" s="165" t="str">
        <f t="shared" si="9"/>
        <v>Non FF  9th year of service</v>
      </c>
      <c r="AL32" s="165"/>
      <c r="AM32" s="165"/>
      <c r="AN32" s="206">
        <f t="shared" ca="1" si="12"/>
        <v>0.35399999999999998</v>
      </c>
      <c r="AO32" s="206">
        <f t="shared" ca="1" si="12"/>
        <v>0.48399999999999999</v>
      </c>
    </row>
    <row r="33" spans="1:41" ht="17.25" customHeight="1">
      <c r="A33" s="56">
        <f t="shared" ca="1" si="10"/>
        <v>47.495638888387376</v>
      </c>
      <c r="B33" s="52" t="s">
        <v>164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40"/>
      <c r="P33" s="210"/>
      <c r="Q33" s="210"/>
      <c r="R33" s="219" t="s">
        <v>287</v>
      </c>
      <c r="S33" s="227" t="str">
        <f t="shared" si="11"/>
        <v>Non FF  10th year of service</v>
      </c>
      <c r="T33" s="265">
        <f ca="1">'January 1, 2025'!T33*'January 1, 2026'!IncrPerc2025</f>
        <v>47.495638888387376</v>
      </c>
      <c r="U33" s="220">
        <f t="shared" ca="1" si="13"/>
        <v>0.43494174806215546</v>
      </c>
      <c r="V33" s="220">
        <f t="shared" ca="1" si="14"/>
        <v>0.59369548610484224</v>
      </c>
      <c r="W33" s="224"/>
      <c r="Y33" s="225"/>
      <c r="AA33" s="281">
        <f ca="1">T33/'January 1, 2025'!T33</f>
        <v>1.04</v>
      </c>
      <c r="AB33" s="281">
        <f ca="1">U33/'January 1, 2025'!U33</f>
        <v>1.04</v>
      </c>
      <c r="AC33" s="281">
        <f ca="1">V33/'January 1, 2025'!V33</f>
        <v>1.04</v>
      </c>
      <c r="AK33" s="165" t="str">
        <f t="shared" si="9"/>
        <v>Non FF  10th year of service</v>
      </c>
      <c r="AL33" s="165"/>
      <c r="AM33" s="165"/>
      <c r="AN33" s="206">
        <f t="shared" ca="1" si="12"/>
        <v>0.435</v>
      </c>
      <c r="AO33" s="206">
        <f t="shared" ca="1" si="12"/>
        <v>0.59399999999999997</v>
      </c>
    </row>
    <row r="34" spans="1:41" ht="17.25" customHeight="1">
      <c r="A34" s="56">
        <f t="shared" ca="1" si="10"/>
        <v>56.306424073479462</v>
      </c>
      <c r="B34" s="52" t="s">
        <v>165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40"/>
      <c r="P34" s="210"/>
      <c r="Q34" s="210"/>
      <c r="R34" s="219" t="s">
        <v>287</v>
      </c>
      <c r="S34" s="227" t="str">
        <f t="shared" si="11"/>
        <v>Non FF  11th year of service</v>
      </c>
      <c r="T34" s="265">
        <f ca="1">'January 1, 2025'!T34*'January 1, 2026'!IncrPerc2025</f>
        <v>56.306424073479462</v>
      </c>
      <c r="U34" s="220">
        <f t="shared" ca="1" si="13"/>
        <v>0.51562659407948219</v>
      </c>
      <c r="V34" s="220">
        <f t="shared" ca="1" si="14"/>
        <v>0.7038303009184933</v>
      </c>
      <c r="W34" s="224"/>
      <c r="Y34" s="225"/>
      <c r="AA34" s="281">
        <f ca="1">T34/'January 1, 2025'!T34</f>
        <v>1.04</v>
      </c>
      <c r="AB34" s="281">
        <f ca="1">U34/'January 1, 2025'!U34</f>
        <v>1.0399999999999998</v>
      </c>
      <c r="AC34" s="281">
        <f ca="1">V34/'January 1, 2025'!V34</f>
        <v>1.04</v>
      </c>
      <c r="AK34" s="165" t="str">
        <f t="shared" si="9"/>
        <v>Non FF  11th year of service</v>
      </c>
      <c r="AL34" s="165"/>
      <c r="AM34" s="165"/>
      <c r="AN34" s="206">
        <f t="shared" ca="1" si="12"/>
        <v>0.51600000000000001</v>
      </c>
      <c r="AO34" s="206">
        <f t="shared" ca="1" si="12"/>
        <v>0.70399999999999996</v>
      </c>
    </row>
    <row r="35" spans="1:41" ht="17.25" customHeight="1">
      <c r="A35" s="56">
        <f t="shared" ca="1" si="10"/>
        <v>170.17549745190706</v>
      </c>
      <c r="B35" s="52" t="s">
        <v>166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40"/>
      <c r="P35" s="210"/>
      <c r="Q35" s="210"/>
      <c r="R35" s="219" t="s">
        <v>287</v>
      </c>
      <c r="S35" s="227" t="str">
        <f t="shared" si="11"/>
        <v>Non FF  12th year of service</v>
      </c>
      <c r="T35" s="265">
        <f ca="1">'January 1, 2025'!T35*'January 1, 2026'!IncrPerc2025</f>
        <v>170.17549745190706</v>
      </c>
      <c r="U35" s="220">
        <f t="shared" ca="1" si="13"/>
        <v>1.5583836762995151</v>
      </c>
      <c r="V35" s="220">
        <f t="shared" ca="1" si="14"/>
        <v>2.1271937181488383</v>
      </c>
      <c r="W35" s="224"/>
      <c r="Y35" s="225"/>
      <c r="AA35" s="281">
        <f ca="1">T35/'January 1, 2025'!T35</f>
        <v>1.04</v>
      </c>
      <c r="AB35" s="281">
        <f ca="1">U35/'January 1, 2025'!U35</f>
        <v>1.04</v>
      </c>
      <c r="AC35" s="281">
        <f ca="1">V35/'January 1, 2025'!V35</f>
        <v>1.0399999999999998</v>
      </c>
      <c r="AK35" s="165" t="str">
        <f t="shared" si="9"/>
        <v>Non FF  12th year of service</v>
      </c>
      <c r="AL35" s="165"/>
      <c r="AM35" s="165"/>
      <c r="AN35" s="206">
        <f t="shared" ca="1" si="12"/>
        <v>1.5580000000000001</v>
      </c>
      <c r="AO35" s="206">
        <f t="shared" ca="1" si="12"/>
        <v>2.1269999999999998</v>
      </c>
    </row>
    <row r="36" spans="1:41" ht="17.25" customHeight="1">
      <c r="A36" s="56">
        <f t="shared" ca="1" si="10"/>
        <v>179.74345948884289</v>
      </c>
      <c r="B36" s="52" t="s">
        <v>167</v>
      </c>
      <c r="P36" s="210"/>
      <c r="Q36" s="210"/>
      <c r="R36" s="219" t="s">
        <v>287</v>
      </c>
      <c r="S36" s="227" t="str">
        <f t="shared" si="11"/>
        <v>Non FF  13th year of service</v>
      </c>
      <c r="T36" s="265">
        <f ca="1">'January 1, 2025'!T36*'January 1, 2026'!IncrPerc2025</f>
        <v>179.74345948884289</v>
      </c>
      <c r="U36" s="220">
        <f t="shared" ca="1" si="13"/>
        <v>1.6460023762714551</v>
      </c>
      <c r="V36" s="220">
        <f t="shared" ca="1" si="14"/>
        <v>2.246793243610536</v>
      </c>
      <c r="W36" s="224"/>
      <c r="Y36" s="225"/>
      <c r="AA36" s="281">
        <f ca="1">T36/'January 1, 2025'!T36</f>
        <v>1.04</v>
      </c>
      <c r="AB36" s="281">
        <f ca="1">U36/'January 1, 2025'!U36</f>
        <v>1.04</v>
      </c>
      <c r="AC36" s="281">
        <f ca="1">V36/'January 1, 2025'!V36</f>
        <v>1.04</v>
      </c>
      <c r="AK36" s="165" t="str">
        <f t="shared" si="9"/>
        <v>Non FF  13th year of service</v>
      </c>
      <c r="AL36" s="165"/>
      <c r="AM36" s="165"/>
      <c r="AN36" s="206">
        <f t="shared" ca="1" si="12"/>
        <v>1.6459999999999999</v>
      </c>
      <c r="AO36" s="206">
        <f t="shared" ca="1" si="12"/>
        <v>2.2469999999999999</v>
      </c>
    </row>
    <row r="37" spans="1:41" ht="17.25" customHeight="1">
      <c r="A37" s="56">
        <f t="shared" ca="1" si="10"/>
        <v>189.29421296096385</v>
      </c>
      <c r="B37" s="52" t="s">
        <v>168</v>
      </c>
      <c r="P37" s="210"/>
      <c r="Q37" s="210"/>
      <c r="R37" s="219" t="s">
        <v>287</v>
      </c>
      <c r="S37" s="227" t="str">
        <f t="shared" si="11"/>
        <v>Non FF  14th year of service</v>
      </c>
      <c r="T37" s="265">
        <f ca="1">'January 1, 2025'!T37*'January 1, 2026'!IncrPerc2025</f>
        <v>189.29421296096385</v>
      </c>
      <c r="U37" s="220">
        <f t="shared" ca="1" si="13"/>
        <v>1.733463488653515</v>
      </c>
      <c r="V37" s="220">
        <f t="shared" ca="1" si="14"/>
        <v>2.3661776620120483</v>
      </c>
      <c r="W37" s="224"/>
      <c r="Y37" s="225"/>
      <c r="AA37" s="281">
        <f ca="1">T37/'January 1, 2025'!T37</f>
        <v>1.04</v>
      </c>
      <c r="AB37" s="281">
        <f ca="1">U37/'January 1, 2025'!U37</f>
        <v>1.04</v>
      </c>
      <c r="AC37" s="281">
        <f ca="1">V37/'January 1, 2025'!V37</f>
        <v>1.0400000000000003</v>
      </c>
      <c r="AK37" s="165" t="str">
        <f t="shared" si="9"/>
        <v>Non FF  14th year of service</v>
      </c>
      <c r="AL37" s="165"/>
      <c r="AM37" s="165"/>
      <c r="AN37" s="206">
        <f t="shared" ca="1" si="12"/>
        <v>1.7330000000000001</v>
      </c>
      <c r="AO37" s="206">
        <f t="shared" ca="1" si="12"/>
        <v>2.3660000000000001</v>
      </c>
    </row>
    <row r="38" spans="1:41" ht="17.25" customHeight="1">
      <c r="A38" s="56">
        <f t="shared" ca="1" si="10"/>
        <v>247.59683055294082</v>
      </c>
      <c r="B38" s="52" t="s">
        <v>169</v>
      </c>
      <c r="P38" s="210"/>
      <c r="Q38" s="210"/>
      <c r="R38" s="219" t="s">
        <v>287</v>
      </c>
      <c r="S38" s="227" t="str">
        <f t="shared" si="11"/>
        <v>Non FF  15th year of service</v>
      </c>
      <c r="T38" s="265">
        <f ca="1">'January 1, 2025'!T38*'January 1, 2026'!IncrPerc2025</f>
        <v>247.59683055294082</v>
      </c>
      <c r="U38" s="220">
        <f t="shared" ca="1" si="13"/>
        <v>2.2673702431587985</v>
      </c>
      <c r="V38" s="220">
        <f t="shared" ca="1" si="14"/>
        <v>3.0949603819117604</v>
      </c>
      <c r="W38" s="224"/>
      <c r="Y38" s="225"/>
      <c r="AA38" s="281">
        <f ca="1">T38/'January 1, 2025'!T38</f>
        <v>1.04</v>
      </c>
      <c r="AB38" s="281">
        <f ca="1">U38/'January 1, 2025'!U38</f>
        <v>1.0399999999999998</v>
      </c>
      <c r="AC38" s="281">
        <f ca="1">V38/'January 1, 2025'!V38</f>
        <v>1.04</v>
      </c>
      <c r="AK38" s="165" t="str">
        <f t="shared" si="9"/>
        <v>Non FF  15th year of service</v>
      </c>
      <c r="AL38" s="165"/>
      <c r="AM38" s="165"/>
      <c r="AN38" s="206">
        <f t="shared" ca="1" si="12"/>
        <v>2.2669999999999999</v>
      </c>
      <c r="AO38" s="206">
        <f t="shared" ca="1" si="12"/>
        <v>3.0950000000000002</v>
      </c>
    </row>
    <row r="39" spans="1:41" ht="17.25" customHeight="1">
      <c r="A39" s="56">
        <f t="shared" ca="1" si="10"/>
        <v>257.1475840250618</v>
      </c>
      <c r="B39" s="52" t="s">
        <v>170</v>
      </c>
      <c r="P39" s="210"/>
      <c r="Q39" s="210"/>
      <c r="R39" s="219" t="s">
        <v>287</v>
      </c>
      <c r="S39" s="227" t="str">
        <f t="shared" si="11"/>
        <v>Non FF  16th year of service</v>
      </c>
      <c r="T39" s="265">
        <f ca="1">'January 1, 2025'!T39*'January 1, 2026'!IncrPerc2025</f>
        <v>257.1475840250618</v>
      </c>
      <c r="U39" s="220">
        <f t="shared" ca="1" si="13"/>
        <v>2.3548313555408589</v>
      </c>
      <c r="V39" s="220">
        <f t="shared" ca="1" si="14"/>
        <v>3.2143448003132726</v>
      </c>
      <c r="W39" s="224"/>
      <c r="Y39" s="225"/>
      <c r="AA39" s="281">
        <f ca="1">T39/'January 1, 2025'!T39</f>
        <v>1.04</v>
      </c>
      <c r="AB39" s="281">
        <f ca="1">U39/'January 1, 2025'!U39</f>
        <v>1.04</v>
      </c>
      <c r="AC39" s="281">
        <f ca="1">V39/'January 1, 2025'!V39</f>
        <v>1.04</v>
      </c>
      <c r="AK39" s="165" t="str">
        <f t="shared" si="9"/>
        <v>Non FF  16th year of service</v>
      </c>
      <c r="AL39" s="165"/>
      <c r="AM39" s="165"/>
      <c r="AN39" s="206">
        <f t="shared" ca="1" si="12"/>
        <v>2.355</v>
      </c>
      <c r="AO39" s="206">
        <f t="shared" ca="1" si="12"/>
        <v>3.214</v>
      </c>
    </row>
    <row r="40" spans="1:41" ht="17.25" customHeight="1">
      <c r="A40" s="56">
        <f t="shared" ca="1" si="10"/>
        <v>266.71554606199771</v>
      </c>
      <c r="B40" s="52" t="s">
        <v>171</v>
      </c>
      <c r="P40" s="210"/>
      <c r="Q40" s="210"/>
      <c r="R40" s="219" t="s">
        <v>287</v>
      </c>
      <c r="S40" s="227" t="str">
        <f t="shared" si="11"/>
        <v>Non FF  17th year of service</v>
      </c>
      <c r="T40" s="265">
        <f ca="1">'January 1, 2025'!T40*'January 1, 2026'!IncrPerc2025</f>
        <v>266.71554606199771</v>
      </c>
      <c r="U40" s="220">
        <f t="shared" ca="1" si="13"/>
        <v>2.4424500555127997</v>
      </c>
      <c r="V40" s="220">
        <f t="shared" ca="1" si="14"/>
        <v>3.3339443257749712</v>
      </c>
      <c r="W40" s="224"/>
      <c r="Y40" s="225"/>
      <c r="AA40" s="281">
        <f ca="1">T40/'January 1, 2025'!T40</f>
        <v>1.04</v>
      </c>
      <c r="AB40" s="281">
        <f ca="1">U40/'January 1, 2025'!U40</f>
        <v>1.0400000000000003</v>
      </c>
      <c r="AC40" s="281">
        <f ca="1">V40/'January 1, 2025'!V40</f>
        <v>1.04</v>
      </c>
      <c r="AK40" s="165" t="str">
        <f t="shared" si="9"/>
        <v>Non FF  17th year of service</v>
      </c>
      <c r="AL40" s="165"/>
      <c r="AM40" s="165"/>
      <c r="AN40" s="206">
        <f t="shared" ca="1" si="12"/>
        <v>2.4420000000000002</v>
      </c>
      <c r="AO40" s="206">
        <f t="shared" ca="1" si="12"/>
        <v>3.3340000000000001</v>
      </c>
    </row>
    <row r="41" spans="1:41" ht="17.25" customHeight="1">
      <c r="A41" s="56">
        <f t="shared" ca="1" si="10"/>
        <v>276.28350809893487</v>
      </c>
      <c r="B41" s="52" t="s">
        <v>172</v>
      </c>
      <c r="P41" s="210"/>
      <c r="Q41" s="210"/>
      <c r="R41" s="219" t="s">
        <v>287</v>
      </c>
      <c r="S41" s="227" t="str">
        <f t="shared" si="11"/>
        <v>Non FF  18th year of service</v>
      </c>
      <c r="T41" s="265">
        <f ca="1">'January 1, 2025'!T41*'January 1, 2026'!IncrPerc2025</f>
        <v>276.28350809893487</v>
      </c>
      <c r="U41" s="220">
        <f t="shared" ca="1" si="13"/>
        <v>2.5300687554847516</v>
      </c>
      <c r="V41" s="220">
        <f t="shared" ca="1" si="14"/>
        <v>3.4535438512366858</v>
      </c>
      <c r="W41" s="224"/>
      <c r="Y41" s="225"/>
      <c r="AA41" s="281">
        <f ca="1">T41/'January 1, 2025'!T41</f>
        <v>1.04</v>
      </c>
      <c r="AB41" s="281">
        <f ca="1">U41/'January 1, 2025'!U41</f>
        <v>1.0400000000000003</v>
      </c>
      <c r="AC41" s="281">
        <f ca="1">V41/'January 1, 2025'!V41</f>
        <v>1.04</v>
      </c>
      <c r="AK41" s="165" t="str">
        <f t="shared" si="9"/>
        <v>Non FF  18th year of service</v>
      </c>
      <c r="AL41" s="165"/>
      <c r="AM41" s="165"/>
      <c r="AN41" s="206">
        <f t="shared" ca="1" si="12"/>
        <v>2.5299999999999998</v>
      </c>
      <c r="AO41" s="206">
        <f t="shared" ca="1" si="12"/>
        <v>3.4540000000000002</v>
      </c>
    </row>
    <row r="42" spans="1:41" ht="17.25" customHeight="1">
      <c r="A42" s="56">
        <f t="shared" ca="1" si="10"/>
        <v>303.40420624679598</v>
      </c>
      <c r="B42" s="52" t="s">
        <v>173</v>
      </c>
      <c r="P42" s="210"/>
      <c r="Q42" s="210"/>
      <c r="R42" s="219" t="s">
        <v>287</v>
      </c>
      <c r="S42" s="227" t="str">
        <f t="shared" si="11"/>
        <v>Non FF  19th year of service</v>
      </c>
      <c r="T42" s="265">
        <f ca="1">'January 1, 2025'!T42*'January 1, 2026'!IncrPerc2025</f>
        <v>303.40420624679598</v>
      </c>
      <c r="U42" s="220">
        <f t="shared" ca="1" si="13"/>
        <v>2.7784267971318313</v>
      </c>
      <c r="V42" s="220">
        <f t="shared" ca="1" si="14"/>
        <v>3.7925525780849498</v>
      </c>
      <c r="W42" s="224"/>
      <c r="Y42" s="225"/>
      <c r="AA42" s="281">
        <f ca="1">T42/'January 1, 2025'!T42</f>
        <v>1.04</v>
      </c>
      <c r="AB42" s="281">
        <f ca="1">U42/'January 1, 2025'!U42</f>
        <v>1.04</v>
      </c>
      <c r="AC42" s="281">
        <f ca="1">V42/'January 1, 2025'!V42</f>
        <v>1.04</v>
      </c>
      <c r="AK42" s="165" t="str">
        <f t="shared" si="9"/>
        <v>Non FF  19th year of service</v>
      </c>
      <c r="AL42" s="165"/>
      <c r="AM42" s="165"/>
      <c r="AN42" s="206">
        <f t="shared" ca="1" si="12"/>
        <v>2.778</v>
      </c>
      <c r="AO42" s="206">
        <f t="shared" ca="1" si="12"/>
        <v>3.7930000000000001</v>
      </c>
    </row>
    <row r="43" spans="1:41" ht="17.25" customHeight="1">
      <c r="A43" s="56">
        <f t="shared" ca="1" si="10"/>
        <v>381.18691920893724</v>
      </c>
      <c r="B43" s="52" t="s">
        <v>174</v>
      </c>
      <c r="P43" s="210"/>
      <c r="Q43" s="210"/>
      <c r="R43" s="219" t="s">
        <v>287</v>
      </c>
      <c r="S43" s="227" t="str">
        <f t="shared" si="11"/>
        <v>Non FF  20th year of service</v>
      </c>
      <c r="T43" s="265">
        <f ca="1">'January 1, 2025'!T43*'January 1, 2026'!IncrPerc2025</f>
        <v>381.18691920893724</v>
      </c>
      <c r="U43" s="220">
        <f t="shared" ca="1" si="13"/>
        <v>3.490722703378546</v>
      </c>
      <c r="V43" s="220">
        <f t="shared" ca="1" si="14"/>
        <v>4.7648364901117155</v>
      </c>
      <c r="W43" s="224"/>
      <c r="Y43" s="225"/>
      <c r="AA43" s="281">
        <f ca="1">T43/'January 1, 2025'!T43</f>
        <v>1.04</v>
      </c>
      <c r="AB43" s="281">
        <f ca="1">U43/'January 1, 2025'!U43</f>
        <v>1.0399999999999998</v>
      </c>
      <c r="AC43" s="281">
        <f ca="1">V43/'January 1, 2025'!V43</f>
        <v>1.04</v>
      </c>
      <c r="AK43" s="165" t="str">
        <f t="shared" si="9"/>
        <v>Non FF  20th year of service</v>
      </c>
      <c r="AL43" s="165"/>
      <c r="AM43" s="165"/>
      <c r="AN43" s="206">
        <f t="shared" ca="1" si="12"/>
        <v>3.4910000000000001</v>
      </c>
      <c r="AO43" s="206">
        <f t="shared" ca="1" si="12"/>
        <v>4.7649999999999997</v>
      </c>
    </row>
    <row r="44" spans="1:41" ht="17.25" customHeight="1">
      <c r="A44" s="56">
        <f t="shared" ca="1" si="10"/>
        <v>390.75488124587321</v>
      </c>
      <c r="B44" s="52" t="s">
        <v>175</v>
      </c>
      <c r="P44" s="210"/>
      <c r="Q44" s="210"/>
      <c r="R44" s="219" t="s">
        <v>287</v>
      </c>
      <c r="S44" s="227" t="str">
        <f t="shared" si="11"/>
        <v>Non FF  21st year of service</v>
      </c>
      <c r="T44" s="265">
        <f ca="1">'January 1, 2025'!T44*'January 1, 2026'!IncrPerc2025</f>
        <v>390.75488124587321</v>
      </c>
      <c r="U44" s="220">
        <f t="shared" ca="1" si="13"/>
        <v>3.5783414033504872</v>
      </c>
      <c r="V44" s="220">
        <f t="shared" ca="1" si="14"/>
        <v>4.8844360155734154</v>
      </c>
      <c r="W44" s="224"/>
      <c r="Y44" s="225"/>
      <c r="AA44" s="281">
        <f ca="1">T44/'January 1, 2025'!T44</f>
        <v>1.04</v>
      </c>
      <c r="AB44" s="281">
        <f ca="1">U44/'January 1, 2025'!U44</f>
        <v>1.04</v>
      </c>
      <c r="AC44" s="281">
        <f ca="1">V44/'January 1, 2025'!V44</f>
        <v>1.04</v>
      </c>
      <c r="AK44" s="165" t="str">
        <f t="shared" si="9"/>
        <v>Non FF  21st year of service</v>
      </c>
      <c r="AL44" s="165"/>
      <c r="AM44" s="165"/>
      <c r="AN44" s="206">
        <f t="shared" ca="1" si="12"/>
        <v>3.5779999999999998</v>
      </c>
      <c r="AO44" s="206">
        <f t="shared" ca="1" si="12"/>
        <v>4.8840000000000003</v>
      </c>
    </row>
    <row r="45" spans="1:41" ht="17.25" customHeight="1">
      <c r="A45" s="56">
        <f t="shared" ca="1" si="10"/>
        <v>400.322843282809</v>
      </c>
      <c r="B45" s="52" t="s">
        <v>176</v>
      </c>
      <c r="P45" s="210"/>
      <c r="Q45" s="210"/>
      <c r="R45" s="219" t="s">
        <v>287</v>
      </c>
      <c r="S45" s="227" t="str">
        <f t="shared" si="11"/>
        <v>Non FF  22nd year of service</v>
      </c>
      <c r="T45" s="265">
        <f ca="1">'January 1, 2025'!T45*'January 1, 2026'!IncrPerc2025</f>
        <v>400.322843282809</v>
      </c>
      <c r="U45" s="220">
        <f t="shared" ca="1" si="13"/>
        <v>3.6659601033224267</v>
      </c>
      <c r="V45" s="220">
        <f t="shared" ca="1" si="14"/>
        <v>5.0040355410351127</v>
      </c>
      <c r="W45" s="224"/>
      <c r="Y45" s="225"/>
      <c r="AA45" s="281">
        <f ca="1">T45/'January 1, 2025'!T45</f>
        <v>1.04</v>
      </c>
      <c r="AB45" s="281">
        <f ca="1">U45/'January 1, 2025'!U45</f>
        <v>1.04</v>
      </c>
      <c r="AC45" s="281">
        <f ca="1">V45/'January 1, 2025'!V45</f>
        <v>1.04</v>
      </c>
      <c r="AK45" s="165" t="str">
        <f t="shared" si="9"/>
        <v>Non FF  22nd year of service</v>
      </c>
      <c r="AL45" s="165"/>
      <c r="AM45" s="165"/>
      <c r="AN45" s="206">
        <f t="shared" ca="1" si="12"/>
        <v>3.6659999999999999</v>
      </c>
      <c r="AO45" s="206">
        <f t="shared" ca="1" si="12"/>
        <v>5.0039999999999996</v>
      </c>
    </row>
    <row r="46" spans="1:41" ht="17.25" customHeight="1">
      <c r="A46" s="56">
        <f t="shared" ca="1" si="10"/>
        <v>409.89080531974611</v>
      </c>
      <c r="B46" s="52" t="s">
        <v>177</v>
      </c>
      <c r="P46" s="210"/>
      <c r="Q46" s="210"/>
      <c r="R46" s="219" t="s">
        <v>287</v>
      </c>
      <c r="S46" s="227" t="str">
        <f t="shared" si="11"/>
        <v>Non FF  23rd year of service</v>
      </c>
      <c r="T46" s="265">
        <f ca="1">'January 1, 2025'!T46*'January 1, 2026'!IncrPerc2025</f>
        <v>409.89080531974611</v>
      </c>
      <c r="U46" s="220">
        <f t="shared" ca="1" si="13"/>
        <v>3.7535788032943782</v>
      </c>
      <c r="V46" s="220">
        <f t="shared" ca="1" si="14"/>
        <v>5.123635066496826</v>
      </c>
      <c r="W46" s="224"/>
      <c r="Y46" s="225"/>
      <c r="AA46" s="281">
        <f ca="1">T46/'January 1, 2025'!T46</f>
        <v>1.04</v>
      </c>
      <c r="AB46" s="281">
        <f ca="1">U46/'January 1, 2025'!U46</f>
        <v>1.04</v>
      </c>
      <c r="AC46" s="281">
        <f ca="1">V46/'January 1, 2025'!V46</f>
        <v>1.04</v>
      </c>
      <c r="AK46" s="165" t="str">
        <f t="shared" si="9"/>
        <v>Non FF  23rd year of service</v>
      </c>
      <c r="AL46" s="165"/>
      <c r="AM46" s="165"/>
      <c r="AN46" s="206">
        <f t="shared" ref="AN46:AO48" ca="1" si="15">ROUND(U46,3)</f>
        <v>3.754</v>
      </c>
      <c r="AO46" s="206">
        <f t="shared" ca="1" si="15"/>
        <v>5.1239999999999997</v>
      </c>
    </row>
    <row r="47" spans="1:41" ht="17.25" customHeight="1">
      <c r="A47" s="56">
        <f t="shared" ca="1" si="10"/>
        <v>419.45876735668185</v>
      </c>
      <c r="B47" s="52" t="s">
        <v>178</v>
      </c>
      <c r="P47" s="210"/>
      <c r="Q47" s="210"/>
      <c r="R47" s="219" t="s">
        <v>287</v>
      </c>
      <c r="S47" s="227" t="str">
        <f t="shared" si="11"/>
        <v>Non FF  24th year of service</v>
      </c>
      <c r="T47" s="265">
        <f ca="1">'January 1, 2025'!T47*'January 1, 2026'!IncrPerc2025</f>
        <v>419.45876735668185</v>
      </c>
      <c r="U47" s="220">
        <f t="shared" ca="1" si="13"/>
        <v>3.8411975032663173</v>
      </c>
      <c r="V47" s="220">
        <f t="shared" ca="1" si="14"/>
        <v>5.2432345919585233</v>
      </c>
      <c r="W47" s="224"/>
      <c r="Y47" s="225"/>
      <c r="AA47" s="281">
        <f ca="1">T47/'January 1, 2025'!T47</f>
        <v>1.04</v>
      </c>
      <c r="AB47" s="281">
        <f ca="1">U47/'January 1, 2025'!U47</f>
        <v>1.04</v>
      </c>
      <c r="AC47" s="281">
        <f ca="1">V47/'January 1, 2025'!V47</f>
        <v>1.04</v>
      </c>
      <c r="AK47" s="165" t="str">
        <f t="shared" si="9"/>
        <v>Non FF  24th year of service</v>
      </c>
      <c r="AL47" s="165"/>
      <c r="AM47" s="165"/>
      <c r="AN47" s="206">
        <f t="shared" ca="1" si="15"/>
        <v>3.8410000000000002</v>
      </c>
      <c r="AO47" s="206">
        <f t="shared" ca="1" si="15"/>
        <v>5.2430000000000003</v>
      </c>
    </row>
    <row r="48" spans="1:41" ht="17.25" customHeight="1">
      <c r="A48" s="56">
        <f t="shared" ca="1" si="10"/>
        <v>458.24687244886491</v>
      </c>
      <c r="B48" s="52" t="s">
        <v>179</v>
      </c>
      <c r="P48" s="210"/>
      <c r="Q48" s="210"/>
      <c r="R48" s="219" t="s">
        <v>287</v>
      </c>
      <c r="S48" s="227" t="str">
        <f t="shared" si="11"/>
        <v>Non FF  25th year of service</v>
      </c>
      <c r="T48" s="265">
        <f ca="1">'January 1, 2025'!T48*'January 1, 2026'!IncrPerc2025</f>
        <v>458.24687244886491</v>
      </c>
      <c r="U48" s="220">
        <f t="shared" ca="1" si="13"/>
        <v>4.1963999308504114</v>
      </c>
      <c r="V48" s="220">
        <f t="shared" ca="1" si="14"/>
        <v>5.7280859056108113</v>
      </c>
      <c r="W48" s="224"/>
      <c r="Y48" s="225"/>
      <c r="AA48" s="281">
        <f ca="1">T48/'January 1, 2025'!T48</f>
        <v>1.04</v>
      </c>
      <c r="AB48" s="281">
        <f ca="1">U48/'January 1, 2025'!U48</f>
        <v>1.04</v>
      </c>
      <c r="AC48" s="281">
        <f ca="1">V48/'January 1, 2025'!V48</f>
        <v>1.04</v>
      </c>
      <c r="AK48" s="165" t="str">
        <f t="shared" si="9"/>
        <v>Non FF  25th year of service</v>
      </c>
      <c r="AL48" s="165"/>
      <c r="AM48" s="165"/>
      <c r="AN48" s="206">
        <f t="shared" ca="1" si="15"/>
        <v>4.1959999999999997</v>
      </c>
      <c r="AO48" s="206">
        <f t="shared" ca="1" si="15"/>
        <v>5.7279999999999998</v>
      </c>
    </row>
    <row r="49" spans="1:41">
      <c r="A49" s="261"/>
      <c r="B49" s="52"/>
      <c r="P49" s="210"/>
      <c r="Q49" s="210"/>
      <c r="R49" s="223"/>
      <c r="U49" s="223"/>
      <c r="V49" s="210"/>
      <c r="W49" s="210"/>
      <c r="AA49" s="281"/>
      <c r="AB49" s="281"/>
      <c r="AC49" s="281"/>
      <c r="AN49" s="209"/>
      <c r="AO49" s="209"/>
    </row>
    <row r="50" spans="1:41" ht="27.75" customHeight="1">
      <c r="A50" s="262" t="s">
        <v>136</v>
      </c>
      <c r="B50" s="42" t="s">
        <v>181</v>
      </c>
      <c r="P50" s="210"/>
      <c r="Q50" s="210"/>
      <c r="R50" s="268" t="s">
        <v>286</v>
      </c>
      <c r="S50" s="269" t="s">
        <v>297</v>
      </c>
      <c r="T50" s="267"/>
      <c r="U50" s="216" t="s">
        <v>232</v>
      </c>
      <c r="V50" s="216" t="s">
        <v>233</v>
      </c>
      <c r="W50" s="210"/>
      <c r="AA50" s="281"/>
      <c r="AB50" s="281"/>
      <c r="AC50" s="281"/>
      <c r="AK50" s="207" t="s">
        <v>297</v>
      </c>
      <c r="AL50" s="165"/>
      <c r="AM50" s="207"/>
      <c r="AN50" s="208" t="str">
        <f>U50</f>
        <v>CFH/109.2</v>
      </c>
      <c r="AO50" s="208" t="str">
        <f>V50</f>
        <v>CFI/80</v>
      </c>
    </row>
    <row r="51" spans="1:41" ht="17.25" customHeight="1">
      <c r="A51" s="56">
        <f ca="1">T51</f>
        <v>21.06328333311092</v>
      </c>
      <c r="B51" s="52" t="s">
        <v>161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40"/>
      <c r="P51" s="210"/>
      <c r="Q51" s="210"/>
      <c r="R51" s="219" t="s">
        <v>287</v>
      </c>
      <c r="S51" s="227" t="str">
        <f t="shared" ref="S51:S70" si="16">"FF "&amp;B51</f>
        <v>FF  7th year of service</v>
      </c>
      <c r="T51" s="265">
        <f ca="1">'January 1, 2025'!T51*'January 1, 2026'!IncrPerc2025</f>
        <v>21.06328333311092</v>
      </c>
      <c r="U51" s="220">
        <f t="shared" ref="U51:U70" ca="1" si="17">T51/109.2</f>
        <v>0.19288721001017325</v>
      </c>
      <c r="V51" s="220">
        <f t="shared" ref="V51:V70" ca="1" si="18">T51/80</f>
        <v>0.2632910416638865</v>
      </c>
      <c r="W51" s="224"/>
      <c r="AA51" s="281">
        <f ca="1">T51/'January 1, 2025'!T51</f>
        <v>1.04</v>
      </c>
      <c r="AB51" s="281">
        <f ca="1">U51/'January 1, 2025'!U51</f>
        <v>1.04</v>
      </c>
      <c r="AC51" s="281">
        <f ca="1">V51/'January 1, 2025'!V51</f>
        <v>1.04</v>
      </c>
      <c r="AK51" s="165" t="str">
        <f t="shared" ref="AK51:AK70" si="19">S51</f>
        <v>FF  7th year of service</v>
      </c>
      <c r="AL51" s="165"/>
      <c r="AM51" s="165"/>
      <c r="AN51" s="206">
        <f t="shared" ref="AN51:AO70" ca="1" si="20">ROUND(U51,3)</f>
        <v>0.193</v>
      </c>
      <c r="AO51" s="206">
        <f t="shared" ca="1" si="20"/>
        <v>0.26300000000000001</v>
      </c>
    </row>
    <row r="52" spans="1:41" ht="17.25" customHeight="1">
      <c r="A52" s="56">
        <f t="shared" ref="A52:A70" ca="1" si="21">T52</f>
        <v>29.874068518202993</v>
      </c>
      <c r="B52" s="52" t="s">
        <v>162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40"/>
      <c r="P52" s="210"/>
      <c r="Q52" s="210"/>
      <c r="R52" s="219" t="s">
        <v>287</v>
      </c>
      <c r="S52" s="227" t="str">
        <f t="shared" si="16"/>
        <v>FF  8th year of service</v>
      </c>
      <c r="T52" s="265">
        <f ca="1">'January 1, 2025'!T52*'January 1, 2026'!IncrPerc2025</f>
        <v>29.874068518202993</v>
      </c>
      <c r="U52" s="220">
        <f t="shared" ca="1" si="17"/>
        <v>0.27357205602749995</v>
      </c>
      <c r="V52" s="220">
        <f t="shared" ca="1" si="18"/>
        <v>0.3734258564775374</v>
      </c>
      <c r="W52" s="224"/>
      <c r="Y52" s="225"/>
      <c r="AA52" s="281">
        <f ca="1">T52/'January 1, 2025'!T52</f>
        <v>1.04</v>
      </c>
      <c r="AB52" s="281">
        <f ca="1">U52/'January 1, 2025'!U52</f>
        <v>1.0400000000000003</v>
      </c>
      <c r="AC52" s="281">
        <f ca="1">V52/'January 1, 2025'!V52</f>
        <v>1.04</v>
      </c>
      <c r="AK52" s="165" t="str">
        <f t="shared" si="19"/>
        <v>FF  8th year of service</v>
      </c>
      <c r="AL52" s="165"/>
      <c r="AM52" s="165"/>
      <c r="AN52" s="206">
        <f t="shared" ca="1" si="20"/>
        <v>0.27400000000000002</v>
      </c>
      <c r="AO52" s="206">
        <f t="shared" ca="1" si="20"/>
        <v>0.373</v>
      </c>
    </row>
    <row r="53" spans="1:41" ht="17.25" customHeight="1">
      <c r="A53" s="56">
        <f t="shared" ca="1" si="21"/>
        <v>38.684853703295182</v>
      </c>
      <c r="B53" s="52" t="s">
        <v>163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40"/>
      <c r="P53" s="210"/>
      <c r="Q53" s="210"/>
      <c r="R53" s="219" t="s">
        <v>287</v>
      </c>
      <c r="S53" s="227" t="str">
        <f t="shared" si="16"/>
        <v>FF  9th year of service</v>
      </c>
      <c r="T53" s="265">
        <f ca="1">'January 1, 2025'!T53*'January 1, 2026'!IncrPerc2025</f>
        <v>38.684853703295182</v>
      </c>
      <c r="U53" s="220">
        <f t="shared" ca="1" si="17"/>
        <v>0.35425690204482768</v>
      </c>
      <c r="V53" s="220">
        <f t="shared" ca="1" si="18"/>
        <v>0.48356067129118979</v>
      </c>
      <c r="W53" s="224"/>
      <c r="Y53" s="225"/>
      <c r="AA53" s="281">
        <f ca="1">T53/'January 1, 2025'!T53</f>
        <v>1.04</v>
      </c>
      <c r="AB53" s="281">
        <f ca="1">U53/'January 1, 2025'!U53</f>
        <v>1.04</v>
      </c>
      <c r="AC53" s="281">
        <f ca="1">V53/'January 1, 2025'!V53</f>
        <v>1.04</v>
      </c>
      <c r="AK53" s="165" t="str">
        <f t="shared" si="19"/>
        <v>FF  9th year of service</v>
      </c>
      <c r="AL53" s="165"/>
      <c r="AM53" s="165"/>
      <c r="AN53" s="206">
        <f t="shared" ca="1" si="20"/>
        <v>0.35399999999999998</v>
      </c>
      <c r="AO53" s="206">
        <f t="shared" ca="1" si="20"/>
        <v>0.48399999999999999</v>
      </c>
    </row>
    <row r="54" spans="1:41" ht="17.25" customHeight="1">
      <c r="A54" s="56">
        <f t="shared" ca="1" si="21"/>
        <v>47.495638888387376</v>
      </c>
      <c r="B54" s="52" t="s">
        <v>164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40"/>
      <c r="P54" s="210"/>
      <c r="Q54" s="210"/>
      <c r="R54" s="219" t="s">
        <v>287</v>
      </c>
      <c r="S54" s="227" t="str">
        <f t="shared" si="16"/>
        <v>FF  10th year of service</v>
      </c>
      <c r="T54" s="265">
        <f ca="1">'January 1, 2025'!T54*'January 1, 2026'!IncrPerc2025</f>
        <v>47.495638888387376</v>
      </c>
      <c r="U54" s="220">
        <f t="shared" ca="1" si="17"/>
        <v>0.43494174806215546</v>
      </c>
      <c r="V54" s="220">
        <f t="shared" ca="1" si="18"/>
        <v>0.59369548610484224</v>
      </c>
      <c r="W54" s="224"/>
      <c r="Y54" s="225"/>
      <c r="AA54" s="281">
        <f ca="1">T54/'January 1, 2025'!T54</f>
        <v>1.04</v>
      </c>
      <c r="AB54" s="281">
        <f ca="1">U54/'January 1, 2025'!U54</f>
        <v>1.04</v>
      </c>
      <c r="AC54" s="281">
        <f ca="1">V54/'January 1, 2025'!V54</f>
        <v>1.04</v>
      </c>
      <c r="AK54" s="165" t="str">
        <f t="shared" si="19"/>
        <v>FF  10th year of service</v>
      </c>
      <c r="AL54" s="165"/>
      <c r="AM54" s="165"/>
      <c r="AN54" s="206">
        <f t="shared" ca="1" si="20"/>
        <v>0.435</v>
      </c>
      <c r="AO54" s="206">
        <f t="shared" ca="1" si="20"/>
        <v>0.59399999999999997</v>
      </c>
    </row>
    <row r="55" spans="1:41" ht="17.25" customHeight="1">
      <c r="A55" s="56">
        <f t="shared" ca="1" si="21"/>
        <v>56.306424073479462</v>
      </c>
      <c r="B55" s="52" t="s">
        <v>165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40"/>
      <c r="P55" s="210"/>
      <c r="Q55" s="210"/>
      <c r="R55" s="219" t="s">
        <v>287</v>
      </c>
      <c r="S55" s="227" t="str">
        <f t="shared" si="16"/>
        <v>FF  11th year of service</v>
      </c>
      <c r="T55" s="265">
        <f ca="1">'January 1, 2025'!T55*'January 1, 2026'!IncrPerc2025</f>
        <v>56.306424073479462</v>
      </c>
      <c r="U55" s="220">
        <f t="shared" ca="1" si="17"/>
        <v>0.51562659407948219</v>
      </c>
      <c r="V55" s="220">
        <f t="shared" ca="1" si="18"/>
        <v>0.7038303009184933</v>
      </c>
      <c r="W55" s="224"/>
      <c r="Y55" s="225"/>
      <c r="AA55" s="281">
        <f ca="1">T55/'January 1, 2025'!T55</f>
        <v>1.04</v>
      </c>
      <c r="AB55" s="281">
        <f ca="1">U55/'January 1, 2025'!U55</f>
        <v>1.0399999999999998</v>
      </c>
      <c r="AC55" s="281">
        <f ca="1">V55/'January 1, 2025'!V55</f>
        <v>1.04</v>
      </c>
      <c r="AK55" s="165" t="str">
        <f t="shared" si="19"/>
        <v>FF  11th year of service</v>
      </c>
      <c r="AL55" s="165"/>
      <c r="AM55" s="165"/>
      <c r="AN55" s="206">
        <f t="shared" ca="1" si="20"/>
        <v>0.51600000000000001</v>
      </c>
      <c r="AO55" s="206">
        <f t="shared" ca="1" si="20"/>
        <v>0.70399999999999996</v>
      </c>
    </row>
    <row r="56" spans="1:41" ht="17.25" customHeight="1">
      <c r="A56" s="56">
        <f t="shared" ca="1" si="21"/>
        <v>170.17549745190706</v>
      </c>
      <c r="B56" s="52" t="s">
        <v>166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40"/>
      <c r="P56" s="210"/>
      <c r="Q56" s="210"/>
      <c r="R56" s="219" t="s">
        <v>287</v>
      </c>
      <c r="S56" s="227" t="str">
        <f t="shared" si="16"/>
        <v>FF  12th year of service</v>
      </c>
      <c r="T56" s="265">
        <f ca="1">'January 1, 2025'!T56*'January 1, 2026'!IncrPerc2025</f>
        <v>170.17549745190706</v>
      </c>
      <c r="U56" s="220">
        <f t="shared" ca="1" si="17"/>
        <v>1.5583836762995151</v>
      </c>
      <c r="V56" s="220">
        <f t="shared" ca="1" si="18"/>
        <v>2.1271937181488383</v>
      </c>
      <c r="W56" s="224"/>
      <c r="Y56" s="225"/>
      <c r="AA56" s="281">
        <f ca="1">T56/'January 1, 2025'!T56</f>
        <v>1.04</v>
      </c>
      <c r="AB56" s="281">
        <f ca="1">U56/'January 1, 2025'!U56</f>
        <v>1.04</v>
      </c>
      <c r="AC56" s="281">
        <f ca="1">V56/'January 1, 2025'!V56</f>
        <v>1.0399999999999998</v>
      </c>
      <c r="AK56" s="165" t="str">
        <f t="shared" si="19"/>
        <v>FF  12th year of service</v>
      </c>
      <c r="AL56" s="165"/>
      <c r="AM56" s="165"/>
      <c r="AN56" s="206">
        <f t="shared" ca="1" si="20"/>
        <v>1.5580000000000001</v>
      </c>
      <c r="AO56" s="206">
        <f t="shared" ca="1" si="20"/>
        <v>2.1269999999999998</v>
      </c>
    </row>
    <row r="57" spans="1:41" ht="17.25" customHeight="1">
      <c r="A57" s="56">
        <f t="shared" ca="1" si="21"/>
        <v>179.74345948884289</v>
      </c>
      <c r="B57" s="52" t="s">
        <v>167</v>
      </c>
      <c r="P57" s="210"/>
      <c r="Q57" s="210"/>
      <c r="R57" s="219" t="s">
        <v>287</v>
      </c>
      <c r="S57" s="227" t="str">
        <f t="shared" si="16"/>
        <v>FF  13th year of service</v>
      </c>
      <c r="T57" s="265">
        <f ca="1">'January 1, 2025'!T57*'January 1, 2026'!IncrPerc2025</f>
        <v>179.74345948884289</v>
      </c>
      <c r="U57" s="220">
        <f t="shared" ca="1" si="17"/>
        <v>1.6460023762714551</v>
      </c>
      <c r="V57" s="220">
        <f t="shared" ca="1" si="18"/>
        <v>2.246793243610536</v>
      </c>
      <c r="W57" s="224"/>
      <c r="Y57" s="225"/>
      <c r="AA57" s="281">
        <f ca="1">T57/'January 1, 2025'!T57</f>
        <v>1.04</v>
      </c>
      <c r="AB57" s="281">
        <f ca="1">U57/'January 1, 2025'!U57</f>
        <v>1.04</v>
      </c>
      <c r="AC57" s="281">
        <f ca="1">V57/'January 1, 2025'!V57</f>
        <v>1.04</v>
      </c>
      <c r="AK57" s="165" t="str">
        <f t="shared" si="19"/>
        <v>FF  13th year of service</v>
      </c>
      <c r="AL57" s="165"/>
      <c r="AM57" s="165"/>
      <c r="AN57" s="206">
        <f t="shared" ca="1" si="20"/>
        <v>1.6459999999999999</v>
      </c>
      <c r="AO57" s="206">
        <f t="shared" ca="1" si="20"/>
        <v>2.2469999999999999</v>
      </c>
    </row>
    <row r="58" spans="1:41" ht="17.25" customHeight="1">
      <c r="A58" s="56">
        <f t="shared" ca="1" si="21"/>
        <v>189.29421296096385</v>
      </c>
      <c r="B58" s="52" t="s">
        <v>168</v>
      </c>
      <c r="P58" s="210"/>
      <c r="Q58" s="210"/>
      <c r="R58" s="219" t="s">
        <v>287</v>
      </c>
      <c r="S58" s="227" t="str">
        <f t="shared" si="16"/>
        <v>FF  14th year of service</v>
      </c>
      <c r="T58" s="265">
        <f ca="1">'January 1, 2025'!T58*'January 1, 2026'!IncrPerc2025</f>
        <v>189.29421296096385</v>
      </c>
      <c r="U58" s="220">
        <f t="shared" ca="1" si="17"/>
        <v>1.733463488653515</v>
      </c>
      <c r="V58" s="220">
        <f t="shared" ca="1" si="18"/>
        <v>2.3661776620120483</v>
      </c>
      <c r="W58" s="224"/>
      <c r="Y58" s="225"/>
      <c r="AA58" s="281">
        <f ca="1">T58/'January 1, 2025'!T58</f>
        <v>1.04</v>
      </c>
      <c r="AB58" s="281">
        <f ca="1">U58/'January 1, 2025'!U58</f>
        <v>1.04</v>
      </c>
      <c r="AC58" s="281">
        <f ca="1">V58/'January 1, 2025'!V58</f>
        <v>1.0400000000000003</v>
      </c>
      <c r="AK58" s="165" t="str">
        <f t="shared" si="19"/>
        <v>FF  14th year of service</v>
      </c>
      <c r="AL58" s="165"/>
      <c r="AM58" s="165"/>
      <c r="AN58" s="206">
        <f t="shared" ca="1" si="20"/>
        <v>1.7330000000000001</v>
      </c>
      <c r="AO58" s="206">
        <f t="shared" ca="1" si="20"/>
        <v>2.3660000000000001</v>
      </c>
    </row>
    <row r="59" spans="1:41" ht="17.25" customHeight="1">
      <c r="A59" s="56">
        <f t="shared" ca="1" si="21"/>
        <v>247.59683055294082</v>
      </c>
      <c r="B59" s="52" t="s">
        <v>169</v>
      </c>
      <c r="P59" s="210"/>
      <c r="Q59" s="210"/>
      <c r="R59" s="219" t="s">
        <v>287</v>
      </c>
      <c r="S59" s="227" t="str">
        <f t="shared" si="16"/>
        <v>FF  15th year of service</v>
      </c>
      <c r="T59" s="265">
        <f ca="1">'January 1, 2025'!T59*'January 1, 2026'!IncrPerc2025</f>
        <v>247.59683055294082</v>
      </c>
      <c r="U59" s="220">
        <f t="shared" ca="1" si="17"/>
        <v>2.2673702431587985</v>
      </c>
      <c r="V59" s="220">
        <f t="shared" ca="1" si="18"/>
        <v>3.0949603819117604</v>
      </c>
      <c r="W59" s="224"/>
      <c r="Y59" s="225"/>
      <c r="AA59" s="281">
        <f ca="1">T59/'January 1, 2025'!T59</f>
        <v>1.04</v>
      </c>
      <c r="AB59" s="281">
        <f ca="1">U59/'January 1, 2025'!U59</f>
        <v>1.0399999999999998</v>
      </c>
      <c r="AC59" s="281">
        <f ca="1">V59/'January 1, 2025'!V59</f>
        <v>1.04</v>
      </c>
      <c r="AK59" s="165" t="str">
        <f t="shared" si="19"/>
        <v>FF  15th year of service</v>
      </c>
      <c r="AL59" s="165"/>
      <c r="AM59" s="165"/>
      <c r="AN59" s="206">
        <f t="shared" ca="1" si="20"/>
        <v>2.2669999999999999</v>
      </c>
      <c r="AO59" s="206">
        <f t="shared" ca="1" si="20"/>
        <v>3.0950000000000002</v>
      </c>
    </row>
    <row r="60" spans="1:41" ht="17.25" customHeight="1">
      <c r="A60" s="56">
        <f t="shared" ca="1" si="21"/>
        <v>257.1475840250618</v>
      </c>
      <c r="B60" s="52" t="s">
        <v>170</v>
      </c>
      <c r="P60" s="210"/>
      <c r="Q60" s="210"/>
      <c r="R60" s="219" t="s">
        <v>287</v>
      </c>
      <c r="S60" s="227" t="str">
        <f t="shared" si="16"/>
        <v>FF  16th year of service</v>
      </c>
      <c r="T60" s="265">
        <f ca="1">'January 1, 2025'!T60*'January 1, 2026'!IncrPerc2025</f>
        <v>257.1475840250618</v>
      </c>
      <c r="U60" s="220">
        <f t="shared" ca="1" si="17"/>
        <v>2.3548313555408589</v>
      </c>
      <c r="V60" s="220">
        <f t="shared" ca="1" si="18"/>
        <v>3.2143448003132726</v>
      </c>
      <c r="W60" s="224"/>
      <c r="Y60" s="225"/>
      <c r="AA60" s="281">
        <f ca="1">T60/'January 1, 2025'!T60</f>
        <v>1.04</v>
      </c>
      <c r="AB60" s="281">
        <f ca="1">U60/'January 1, 2025'!U60</f>
        <v>1.04</v>
      </c>
      <c r="AC60" s="281">
        <f ca="1">V60/'January 1, 2025'!V60</f>
        <v>1.04</v>
      </c>
      <c r="AK60" s="165" t="str">
        <f t="shared" si="19"/>
        <v>FF  16th year of service</v>
      </c>
      <c r="AL60" s="165"/>
      <c r="AM60" s="165"/>
      <c r="AN60" s="206">
        <f t="shared" ca="1" si="20"/>
        <v>2.355</v>
      </c>
      <c r="AO60" s="206">
        <f t="shared" ca="1" si="20"/>
        <v>3.214</v>
      </c>
    </row>
    <row r="61" spans="1:41" ht="17.25" customHeight="1">
      <c r="A61" s="56">
        <f t="shared" ca="1" si="21"/>
        <v>266.71554606199771</v>
      </c>
      <c r="B61" s="52" t="s">
        <v>171</v>
      </c>
      <c r="P61" s="210"/>
      <c r="Q61" s="210"/>
      <c r="R61" s="219" t="s">
        <v>287</v>
      </c>
      <c r="S61" s="227" t="str">
        <f t="shared" si="16"/>
        <v>FF  17th year of service</v>
      </c>
      <c r="T61" s="265">
        <f ca="1">'January 1, 2025'!T61*'January 1, 2026'!IncrPerc2025</f>
        <v>266.71554606199771</v>
      </c>
      <c r="U61" s="220">
        <f t="shared" ca="1" si="17"/>
        <v>2.4424500555127997</v>
      </c>
      <c r="V61" s="220">
        <f t="shared" ca="1" si="18"/>
        <v>3.3339443257749712</v>
      </c>
      <c r="W61" s="224"/>
      <c r="Y61" s="225"/>
      <c r="AA61" s="281">
        <f ca="1">T61/'January 1, 2025'!T61</f>
        <v>1.04</v>
      </c>
      <c r="AB61" s="281">
        <f ca="1">U61/'January 1, 2025'!U61</f>
        <v>1.0400000000000003</v>
      </c>
      <c r="AC61" s="281">
        <f ca="1">V61/'January 1, 2025'!V61</f>
        <v>1.04</v>
      </c>
      <c r="AK61" s="165" t="str">
        <f t="shared" si="19"/>
        <v>FF  17th year of service</v>
      </c>
      <c r="AL61" s="165"/>
      <c r="AM61" s="165"/>
      <c r="AN61" s="206">
        <f t="shared" ca="1" si="20"/>
        <v>2.4420000000000002</v>
      </c>
      <c r="AO61" s="206">
        <f t="shared" ca="1" si="20"/>
        <v>3.3340000000000001</v>
      </c>
    </row>
    <row r="62" spans="1:41" ht="17.25" customHeight="1">
      <c r="A62" s="56">
        <f t="shared" ca="1" si="21"/>
        <v>276.28350809893487</v>
      </c>
      <c r="B62" s="52" t="s">
        <v>172</v>
      </c>
      <c r="P62" s="210"/>
      <c r="Q62" s="210"/>
      <c r="R62" s="219" t="s">
        <v>287</v>
      </c>
      <c r="S62" s="227" t="str">
        <f t="shared" si="16"/>
        <v>FF  18th year of service</v>
      </c>
      <c r="T62" s="265">
        <f ca="1">'January 1, 2025'!T62*'January 1, 2026'!IncrPerc2025</f>
        <v>276.28350809893487</v>
      </c>
      <c r="U62" s="220">
        <f t="shared" ca="1" si="17"/>
        <v>2.5300687554847516</v>
      </c>
      <c r="V62" s="220">
        <f t="shared" ca="1" si="18"/>
        <v>3.4535438512366858</v>
      </c>
      <c r="W62" s="224"/>
      <c r="Y62" s="225"/>
      <c r="AA62" s="281">
        <f ca="1">T62/'January 1, 2025'!T62</f>
        <v>1.04</v>
      </c>
      <c r="AB62" s="281">
        <f ca="1">U62/'January 1, 2025'!U62</f>
        <v>1.0400000000000003</v>
      </c>
      <c r="AC62" s="281">
        <f ca="1">V62/'January 1, 2025'!V62</f>
        <v>1.04</v>
      </c>
      <c r="AK62" s="165" t="str">
        <f t="shared" si="19"/>
        <v>FF  18th year of service</v>
      </c>
      <c r="AL62" s="165"/>
      <c r="AM62" s="165"/>
      <c r="AN62" s="206">
        <f t="shared" ca="1" si="20"/>
        <v>2.5299999999999998</v>
      </c>
      <c r="AO62" s="206">
        <f t="shared" ca="1" si="20"/>
        <v>3.4540000000000002</v>
      </c>
    </row>
    <row r="63" spans="1:41" ht="17.25" customHeight="1">
      <c r="A63" s="56">
        <f t="shared" ca="1" si="21"/>
        <v>303.40420624679598</v>
      </c>
      <c r="B63" s="52" t="s">
        <v>173</v>
      </c>
      <c r="P63" s="210"/>
      <c r="Q63" s="210"/>
      <c r="R63" s="219" t="s">
        <v>287</v>
      </c>
      <c r="S63" s="227" t="str">
        <f t="shared" si="16"/>
        <v>FF  19th year of service</v>
      </c>
      <c r="T63" s="265">
        <f ca="1">'January 1, 2025'!T63*'January 1, 2026'!IncrPerc2025</f>
        <v>303.40420624679598</v>
      </c>
      <c r="U63" s="220">
        <f t="shared" ca="1" si="17"/>
        <v>2.7784267971318313</v>
      </c>
      <c r="V63" s="220">
        <f t="shared" ca="1" si="18"/>
        <v>3.7925525780849498</v>
      </c>
      <c r="W63" s="224"/>
      <c r="Y63" s="225"/>
      <c r="AA63" s="281">
        <f ca="1">T63/'January 1, 2025'!T63</f>
        <v>1.04</v>
      </c>
      <c r="AB63" s="281">
        <f ca="1">U63/'January 1, 2025'!U63</f>
        <v>1.04</v>
      </c>
      <c r="AC63" s="281">
        <f ca="1">V63/'January 1, 2025'!V63</f>
        <v>1.04</v>
      </c>
      <c r="AK63" s="165" t="str">
        <f t="shared" si="19"/>
        <v>FF  19th year of service</v>
      </c>
      <c r="AL63" s="165"/>
      <c r="AM63" s="165"/>
      <c r="AN63" s="206">
        <f t="shared" ca="1" si="20"/>
        <v>2.778</v>
      </c>
      <c r="AO63" s="206">
        <f t="shared" ca="1" si="20"/>
        <v>3.7930000000000001</v>
      </c>
    </row>
    <row r="64" spans="1:41" ht="17.25" customHeight="1">
      <c r="A64" s="56">
        <f t="shared" ca="1" si="21"/>
        <v>381.18691920893724</v>
      </c>
      <c r="B64" s="52" t="s">
        <v>174</v>
      </c>
      <c r="P64" s="210"/>
      <c r="Q64" s="210"/>
      <c r="R64" s="219" t="s">
        <v>287</v>
      </c>
      <c r="S64" s="227" t="str">
        <f t="shared" si="16"/>
        <v>FF  20th year of service</v>
      </c>
      <c r="T64" s="265">
        <f ca="1">'January 1, 2025'!T64*'January 1, 2026'!IncrPerc2025</f>
        <v>381.18691920893724</v>
      </c>
      <c r="U64" s="220">
        <f t="shared" ca="1" si="17"/>
        <v>3.490722703378546</v>
      </c>
      <c r="V64" s="220">
        <f t="shared" ca="1" si="18"/>
        <v>4.7648364901117155</v>
      </c>
      <c r="W64" s="224"/>
      <c r="Y64" s="225"/>
      <c r="AA64" s="281">
        <f ca="1">T64/'January 1, 2025'!T64</f>
        <v>1.04</v>
      </c>
      <c r="AB64" s="281">
        <f ca="1">U64/'January 1, 2025'!U64</f>
        <v>1.0399999999999998</v>
      </c>
      <c r="AC64" s="281">
        <f ca="1">V64/'January 1, 2025'!V64</f>
        <v>1.04</v>
      </c>
      <c r="AK64" s="165" t="str">
        <f t="shared" si="19"/>
        <v>FF  20th year of service</v>
      </c>
      <c r="AL64" s="165"/>
      <c r="AM64" s="165"/>
      <c r="AN64" s="206">
        <f t="shared" ca="1" si="20"/>
        <v>3.4910000000000001</v>
      </c>
      <c r="AO64" s="206">
        <f t="shared" ca="1" si="20"/>
        <v>4.7649999999999997</v>
      </c>
    </row>
    <row r="65" spans="1:41" ht="17.25" customHeight="1">
      <c r="A65" s="56">
        <f t="shared" ca="1" si="21"/>
        <v>449.02612610448125</v>
      </c>
      <c r="B65" s="52" t="s">
        <v>175</v>
      </c>
      <c r="P65" s="210"/>
      <c r="Q65" s="210"/>
      <c r="R65" s="219" t="s">
        <v>287</v>
      </c>
      <c r="S65" s="227" t="str">
        <f t="shared" si="16"/>
        <v>FF  21st year of service</v>
      </c>
      <c r="T65" s="265">
        <f ca="1">'January 1, 2025'!T65*'January 1, 2026'!IncrPerc2025</f>
        <v>449.02612610448125</v>
      </c>
      <c r="U65" s="220">
        <f t="shared" ca="1" si="17"/>
        <v>4.1119608617626486</v>
      </c>
      <c r="V65" s="220">
        <f t="shared" ca="1" si="18"/>
        <v>5.6128265763060154</v>
      </c>
      <c r="W65" s="224"/>
      <c r="Y65" s="225"/>
      <c r="AA65" s="281">
        <f ca="1">T65/'January 1, 2025'!T65</f>
        <v>1.04</v>
      </c>
      <c r="AB65" s="281">
        <f ca="1">U65/'January 1, 2025'!U65</f>
        <v>1.04</v>
      </c>
      <c r="AC65" s="281">
        <f ca="1">V65/'January 1, 2025'!V65</f>
        <v>1.04</v>
      </c>
      <c r="AK65" s="165" t="str">
        <f t="shared" si="19"/>
        <v>FF  21st year of service</v>
      </c>
      <c r="AL65" s="165"/>
      <c r="AM65" s="165"/>
      <c r="AN65" s="206">
        <f t="shared" ca="1" si="20"/>
        <v>4.1120000000000001</v>
      </c>
      <c r="AO65" s="206">
        <f t="shared" ca="1" si="20"/>
        <v>5.6130000000000004</v>
      </c>
    </row>
    <row r="66" spans="1:41" ht="17.25" customHeight="1">
      <c r="A66" s="56">
        <f t="shared" ca="1" si="21"/>
        <v>458.59408814141727</v>
      </c>
      <c r="B66" s="52" t="s">
        <v>176</v>
      </c>
      <c r="P66" s="210"/>
      <c r="Q66" s="210"/>
      <c r="R66" s="219" t="s">
        <v>287</v>
      </c>
      <c r="S66" s="227" t="str">
        <f t="shared" si="16"/>
        <v>FF  22nd year of service</v>
      </c>
      <c r="T66" s="265">
        <f ca="1">'January 1, 2025'!T66*'January 1, 2026'!IncrPerc2025</f>
        <v>458.59408814141727</v>
      </c>
      <c r="U66" s="220">
        <f t="shared" ca="1" si="17"/>
        <v>4.1995795617345903</v>
      </c>
      <c r="V66" s="220">
        <f t="shared" ca="1" si="18"/>
        <v>5.7324261017677163</v>
      </c>
      <c r="W66" s="224"/>
      <c r="Y66" s="225"/>
      <c r="AA66" s="281">
        <f ca="1">T66/'January 1, 2025'!T66</f>
        <v>1.04</v>
      </c>
      <c r="AB66" s="281">
        <f ca="1">U66/'January 1, 2025'!U66</f>
        <v>1.04</v>
      </c>
      <c r="AC66" s="281">
        <f ca="1">V66/'January 1, 2025'!V66</f>
        <v>1.04</v>
      </c>
      <c r="AK66" s="165" t="str">
        <f t="shared" si="19"/>
        <v>FF  22nd year of service</v>
      </c>
      <c r="AL66" s="165"/>
      <c r="AM66" s="165"/>
      <c r="AN66" s="206">
        <f t="shared" ca="1" si="20"/>
        <v>4.2</v>
      </c>
      <c r="AO66" s="206">
        <f t="shared" ca="1" si="20"/>
        <v>5.7320000000000002</v>
      </c>
    </row>
    <row r="67" spans="1:41" ht="17.25" customHeight="1">
      <c r="A67" s="56">
        <f t="shared" ca="1" si="21"/>
        <v>468.16205017835341</v>
      </c>
      <c r="B67" s="52" t="s">
        <v>177</v>
      </c>
      <c r="P67" s="210"/>
      <c r="Q67" s="210"/>
      <c r="R67" s="219" t="s">
        <v>287</v>
      </c>
      <c r="S67" s="227" t="str">
        <f t="shared" si="16"/>
        <v>FF  23rd year of service</v>
      </c>
      <c r="T67" s="265">
        <f ca="1">'January 1, 2025'!T67*'January 1, 2026'!IncrPerc2025</f>
        <v>468.16205017835341</v>
      </c>
      <c r="U67" s="220">
        <f t="shared" ca="1" si="17"/>
        <v>4.287198261706533</v>
      </c>
      <c r="V67" s="220">
        <f t="shared" ca="1" si="18"/>
        <v>5.852025627229418</v>
      </c>
      <c r="W67" s="224"/>
      <c r="Y67" s="225"/>
      <c r="AA67" s="281">
        <f ca="1">T67/'January 1, 2025'!T67</f>
        <v>1.04</v>
      </c>
      <c r="AB67" s="281">
        <f ca="1">U67/'January 1, 2025'!U67</f>
        <v>1.04</v>
      </c>
      <c r="AC67" s="281">
        <f ca="1">V67/'January 1, 2025'!V67</f>
        <v>1.04</v>
      </c>
      <c r="AK67" s="165" t="str">
        <f t="shared" si="19"/>
        <v>FF  23rd year of service</v>
      </c>
      <c r="AL67" s="165"/>
      <c r="AM67" s="165"/>
      <c r="AN67" s="206">
        <f t="shared" ca="1" si="20"/>
        <v>4.2869999999999999</v>
      </c>
      <c r="AO67" s="206">
        <f t="shared" ca="1" si="20"/>
        <v>5.8520000000000003</v>
      </c>
    </row>
    <row r="68" spans="1:41" ht="17.25" customHeight="1">
      <c r="A68" s="56">
        <f t="shared" ca="1" si="21"/>
        <v>477.73001221528943</v>
      </c>
      <c r="B68" s="52" t="s">
        <v>178</v>
      </c>
      <c r="P68" s="210"/>
      <c r="Q68" s="210"/>
      <c r="R68" s="219" t="s">
        <v>287</v>
      </c>
      <c r="S68" s="227" t="str">
        <f t="shared" si="16"/>
        <v>FF  24th year of service</v>
      </c>
      <c r="T68" s="265">
        <f ca="1">'January 1, 2025'!T68*'January 1, 2026'!IncrPerc2025</f>
        <v>477.73001221528943</v>
      </c>
      <c r="U68" s="220">
        <f t="shared" ca="1" si="17"/>
        <v>4.3748169616784747</v>
      </c>
      <c r="V68" s="220">
        <f t="shared" ca="1" si="18"/>
        <v>5.9716251526911179</v>
      </c>
      <c r="W68" s="224"/>
      <c r="Y68" s="225"/>
      <c r="AA68" s="281">
        <f ca="1">T68/'January 1, 2025'!T68</f>
        <v>1.04</v>
      </c>
      <c r="AB68" s="281">
        <f ca="1">U68/'January 1, 2025'!U68</f>
        <v>1.04</v>
      </c>
      <c r="AC68" s="281">
        <f ca="1">V68/'January 1, 2025'!V68</f>
        <v>1.04</v>
      </c>
      <c r="AK68" s="165" t="str">
        <f t="shared" si="19"/>
        <v>FF  24th year of service</v>
      </c>
      <c r="AL68" s="165"/>
      <c r="AM68" s="165"/>
      <c r="AN68" s="206">
        <f t="shared" ca="1" si="20"/>
        <v>4.375</v>
      </c>
      <c r="AO68" s="206">
        <f t="shared" ca="1" si="20"/>
        <v>5.9720000000000004</v>
      </c>
    </row>
    <row r="69" spans="1:41" ht="17.25" customHeight="1">
      <c r="A69" s="56">
        <f t="shared" ca="1" si="21"/>
        <v>516.51811730747249</v>
      </c>
      <c r="B69" s="52" t="s">
        <v>179</v>
      </c>
      <c r="P69" s="210"/>
      <c r="Q69" s="210"/>
      <c r="R69" s="219" t="s">
        <v>287</v>
      </c>
      <c r="S69" s="227" t="str">
        <f t="shared" si="16"/>
        <v>FF  25th year of service</v>
      </c>
      <c r="T69" s="265">
        <f ca="1">'January 1, 2025'!T69*'January 1, 2026'!IncrPerc2025</f>
        <v>516.51811730747249</v>
      </c>
      <c r="U69" s="220">
        <f t="shared" ca="1" si="17"/>
        <v>4.7300193892625684</v>
      </c>
      <c r="V69" s="220">
        <f t="shared" ca="1" si="18"/>
        <v>6.456476466343406</v>
      </c>
      <c r="W69" s="224"/>
      <c r="Y69" s="225"/>
      <c r="AA69" s="281">
        <f ca="1">T69/'January 1, 2025'!T69</f>
        <v>1.04</v>
      </c>
      <c r="AB69" s="281">
        <f ca="1">U69/'January 1, 2025'!U69</f>
        <v>1.04</v>
      </c>
      <c r="AC69" s="281">
        <f ca="1">V69/'January 1, 2025'!V69</f>
        <v>1.04</v>
      </c>
      <c r="AK69" s="165" t="str">
        <f t="shared" si="19"/>
        <v>FF  25th year of service</v>
      </c>
      <c r="AL69" s="165"/>
      <c r="AM69" s="165"/>
      <c r="AN69" s="206">
        <f t="shared" ca="1" si="20"/>
        <v>4.7300000000000004</v>
      </c>
      <c r="AO69" s="206">
        <f t="shared" ca="1" si="20"/>
        <v>6.4560000000000004</v>
      </c>
    </row>
    <row r="70" spans="1:41" ht="17.25" customHeight="1">
      <c r="A70" s="56">
        <f t="shared" ca="1" si="21"/>
        <v>591.64929987694018</v>
      </c>
      <c r="B70" s="52" t="s">
        <v>180</v>
      </c>
      <c r="P70" s="210"/>
      <c r="Q70" s="210"/>
      <c r="R70" s="219" t="s">
        <v>287</v>
      </c>
      <c r="S70" s="227" t="str">
        <f t="shared" si="16"/>
        <v>FF 26th year of service</v>
      </c>
      <c r="T70" s="265">
        <f ca="1">'January 1, 2025'!T70*'January 1, 2026'!IncrPerc2025</f>
        <v>591.64929987694018</v>
      </c>
      <c r="U70" s="220">
        <f t="shared" ca="1" si="17"/>
        <v>5.4180338816569611</v>
      </c>
      <c r="V70" s="220">
        <f t="shared" ca="1" si="18"/>
        <v>7.395616248461752</v>
      </c>
      <c r="W70" s="224"/>
      <c r="Y70" s="225"/>
      <c r="AA70" s="281">
        <f ca="1">T70/'January 1, 2025'!T70</f>
        <v>1.04</v>
      </c>
      <c r="AB70" s="281">
        <f ca="1">U70/'January 1, 2025'!U70</f>
        <v>1.0399999999999998</v>
      </c>
      <c r="AC70" s="281">
        <f ca="1">V70/'January 1, 2025'!V70</f>
        <v>1.04</v>
      </c>
      <c r="AK70" s="165" t="str">
        <f t="shared" si="19"/>
        <v>FF 26th year of service</v>
      </c>
      <c r="AL70" s="165"/>
      <c r="AM70" s="165"/>
      <c r="AN70" s="206">
        <f t="shared" ca="1" si="20"/>
        <v>5.4180000000000001</v>
      </c>
      <c r="AO70" s="206">
        <f t="shared" ca="1" si="20"/>
        <v>7.3959999999999999</v>
      </c>
    </row>
    <row r="71" spans="1:4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212"/>
      <c r="AA71" s="281"/>
      <c r="AB71" s="281"/>
      <c r="AC71" s="281"/>
    </row>
    <row r="72" spans="1:4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212"/>
    </row>
    <row r="73" spans="1:4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212"/>
    </row>
    <row r="74" spans="1:4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212"/>
    </row>
    <row r="75" spans="1:4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212"/>
    </row>
    <row r="76" spans="1:41">
      <c r="A76" s="42" t="s">
        <v>311</v>
      </c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46" t="s">
        <v>312</v>
      </c>
      <c r="P76" s="212"/>
    </row>
    <row r="77" spans="1:41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44"/>
      <c r="P77" s="212"/>
    </row>
    <row r="78" spans="1:41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44"/>
      <c r="P78" s="212"/>
    </row>
    <row r="79" spans="1:41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44"/>
      <c r="P79" s="212"/>
    </row>
    <row r="80" spans="1:41"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54"/>
      <c r="N80" s="44"/>
      <c r="P80" s="212"/>
    </row>
    <row r="81" spans="1:15">
      <c r="A81" s="41"/>
      <c r="B81" s="52"/>
    </row>
    <row r="82" spans="1:15">
      <c r="A82" s="41"/>
    </row>
    <row r="83" spans="1:15">
      <c r="A83" s="51"/>
    </row>
    <row r="84" spans="1:15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</row>
    <row r="85" spans="1:15">
      <c r="A85" s="51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26"/>
    </row>
    <row r="86" spans="1:15">
      <c r="A86" s="51"/>
      <c r="B86" s="52"/>
      <c r="O86" s="226"/>
    </row>
    <row r="87" spans="1:15">
      <c r="A87" s="51"/>
      <c r="B87" s="52"/>
      <c r="O87" s="226"/>
    </row>
    <row r="88" spans="1:15">
      <c r="A88" s="51"/>
      <c r="B88" s="52"/>
      <c r="O88" s="226"/>
    </row>
    <row r="89" spans="1:15">
      <c r="A89" s="51"/>
      <c r="B89" s="52"/>
      <c r="O89" s="226"/>
    </row>
    <row r="90" spans="1:15">
      <c r="A90" s="51"/>
      <c r="B90" s="52"/>
      <c r="O90" s="226"/>
    </row>
    <row r="91" spans="1:15">
      <c r="A91" s="51"/>
      <c r="B91" s="52"/>
      <c r="O91" s="226"/>
    </row>
    <row r="92" spans="1:15">
      <c r="A92" s="51"/>
      <c r="B92" s="52"/>
      <c r="O92" s="226"/>
    </row>
    <row r="93" spans="1:15">
      <c r="A93" s="51"/>
      <c r="B93" s="52"/>
      <c r="O93" s="226"/>
    </row>
    <row r="94" spans="1:15">
      <c r="A94" s="51"/>
      <c r="B94" s="52"/>
      <c r="O94" s="226"/>
    </row>
    <row r="95" spans="1:15">
      <c r="A95" s="51"/>
      <c r="B95" s="52"/>
      <c r="O95" s="226"/>
    </row>
    <row r="96" spans="1:15">
      <c r="A96" s="51"/>
      <c r="B96" s="52"/>
      <c r="O96" s="226"/>
    </row>
    <row r="97" spans="1:15">
      <c r="A97" s="51"/>
      <c r="B97" s="52"/>
      <c r="O97" s="226"/>
    </row>
    <row r="98" spans="1:15">
      <c r="A98" s="51"/>
      <c r="B98" s="52"/>
      <c r="O98" s="226"/>
    </row>
    <row r="99" spans="1:15">
      <c r="B99" s="52"/>
      <c r="O99" s="226"/>
    </row>
    <row r="100" spans="1:15">
      <c r="B100" s="52"/>
      <c r="O100" s="226"/>
    </row>
    <row r="101" spans="1:15">
      <c r="B101" s="52"/>
    </row>
    <row r="102" spans="1:15">
      <c r="B102" s="52"/>
    </row>
  </sheetData>
  <mergeCells count="5">
    <mergeCell ref="F3:L3"/>
    <mergeCell ref="G7:L7"/>
    <mergeCell ref="U28:V28"/>
    <mergeCell ref="B84:N84"/>
    <mergeCell ref="B85:N85"/>
  </mergeCells>
  <pageMargins left="0.25" right="0.25" top="0.75" bottom="0.75" header="0.3" footer="0.3"/>
  <pageSetup orientation="landscape" r:id="rId1"/>
  <headerFooter alignWithMargins="0"/>
  <rowBreaks count="2" manualBreakCount="2">
    <brk id="28" max="16383" man="1"/>
    <brk id="55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R106"/>
  <sheetViews>
    <sheetView workbookViewId="0">
      <selection activeCell="C10" sqref="C10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86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8.398437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74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32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3" t="s">
        <v>18</v>
      </c>
      <c r="H6" s="34">
        <f>'January 1, 2008'!H6*1.03</f>
        <v>1729.1846</v>
      </c>
      <c r="I6" s="34">
        <f>'January 1, 2008'!I6*1.03</f>
        <v>1845.8836000000001</v>
      </c>
      <c r="J6" s="34">
        <f>'January 1, 2008'!J6*1.03</f>
        <v>1972.1307000000002</v>
      </c>
      <c r="K6" s="34">
        <f>'January 1, 2008'!K6*1.03</f>
        <v>2106.8650000000002</v>
      </c>
      <c r="L6" s="34">
        <f>'January 1, 2008'!L6*1.03</f>
        <v>2250.0865000000003</v>
      </c>
      <c r="M6" s="34">
        <f>'January 1, 2008'!M6*1.03</f>
        <v>2386.4306153888601</v>
      </c>
    </row>
    <row r="7" spans="1:14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3" t="s">
        <v>18</v>
      </c>
      <c r="H7" s="34">
        <f>'January 1, 2008'!H7*1.03</f>
        <v>1729.1846</v>
      </c>
      <c r="I7" s="34">
        <f>'January 1, 2008'!I7*1.03</f>
        <v>1845.8836000000001</v>
      </c>
      <c r="J7" s="34">
        <f>'January 1, 2008'!J7*1.03</f>
        <v>1972.1307000000002</v>
      </c>
      <c r="K7" s="34">
        <f>'January 1, 2008'!K7*1.03</f>
        <v>2106.8650000000002</v>
      </c>
      <c r="L7" s="34">
        <f>'January 1, 2008'!L7*1.03</f>
        <v>2250.0865000000003</v>
      </c>
      <c r="M7" s="34">
        <f>'January 1, 2008'!M7*1.03</f>
        <v>2386.4306153888601</v>
      </c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3" t="s">
        <v>18</v>
      </c>
      <c r="H8" s="34">
        <f>'January 1, 2008'!H8*1.03</f>
        <v>1729.1846</v>
      </c>
      <c r="I8" s="34">
        <f>'January 1, 2008'!I8*1.03</f>
        <v>1845.8836000000001</v>
      </c>
      <c r="J8" s="34">
        <f>'January 1, 2008'!J8*1.03</f>
        <v>1972.1307000000002</v>
      </c>
      <c r="K8" s="34">
        <f>'January 1, 2008'!K8*1.03</f>
        <v>2106.8650000000002</v>
      </c>
      <c r="L8" s="34">
        <f>'January 1, 2008'!L8*1.03</f>
        <v>2250.0865000000003</v>
      </c>
      <c r="M8" s="34">
        <f>'January 1, 2008'!M8*1.03</f>
        <v>2386.4306153888601</v>
      </c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3" t="s">
        <v>18</v>
      </c>
      <c r="H9" s="34">
        <f>'January 1, 2008'!H9*1.03</f>
        <v>2431.5003999999999</v>
      </c>
      <c r="I9" s="34">
        <f>'January 1, 2008'!I9*1.03</f>
        <v>2526.9814000000001</v>
      </c>
      <c r="J9" s="34">
        <f>'January 1, 2008'!J9*1.03</f>
        <v>2680.5132802550247</v>
      </c>
      <c r="K9" s="6"/>
      <c r="L9" s="6"/>
      <c r="M9" s="6"/>
    </row>
    <row r="10" spans="1:14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3" t="s">
        <v>18</v>
      </c>
      <c r="H10" s="34">
        <f>'January 1, 2008'!H10*1.03</f>
        <v>2431.5003999999999</v>
      </c>
      <c r="I10" s="34">
        <f>'January 1, 2008'!I10*1.03</f>
        <v>2526.9814000000001</v>
      </c>
      <c r="J10" s="34">
        <f>'January 1, 2008'!J10*1.03</f>
        <v>2680.5132802550247</v>
      </c>
      <c r="K10" s="6"/>
      <c r="L10" s="6"/>
      <c r="M10" s="6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3" t="s">
        <v>18</v>
      </c>
      <c r="H11" s="34">
        <f>'January 1, 2008'!H11*1.03</f>
        <v>2431.5003999999999</v>
      </c>
      <c r="I11" s="34">
        <f>'January 1, 2008'!I11*1.03</f>
        <v>2526.9814000000001</v>
      </c>
      <c r="J11" s="34">
        <f>'January 1, 2008'!J11*1.03</f>
        <v>2680.5132802550247</v>
      </c>
      <c r="K11" s="6"/>
      <c r="L11" s="6"/>
      <c r="M11" s="6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3" t="s">
        <v>18</v>
      </c>
      <c r="H12" s="34">
        <f>'January 1, 2008'!H12*1.03</f>
        <v>2756.1358</v>
      </c>
      <c r="I12" s="34">
        <f>'January 1, 2008'!I12*1.03</f>
        <v>2865.4085000000005</v>
      </c>
      <c r="J12" s="34">
        <f>'January 1, 2008'!J12*1.03</f>
        <v>3040.7916741132049</v>
      </c>
      <c r="K12" s="6"/>
      <c r="L12" s="6"/>
      <c r="M12" s="6"/>
    </row>
    <row r="13" spans="1:14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3" t="s">
        <v>18</v>
      </c>
      <c r="H13" s="34">
        <f>'January 1, 2008'!H13*1.03</f>
        <v>2756.1358</v>
      </c>
      <c r="I13" s="34">
        <f>'January 1, 2008'!I13*1.03</f>
        <v>2865.4085000000005</v>
      </c>
      <c r="J13" s="34">
        <f>'January 1, 2008'!J13*1.03</f>
        <v>3040.7916741132049</v>
      </c>
      <c r="K13" s="6"/>
      <c r="L13" s="6"/>
      <c r="M13" s="6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3" t="s">
        <v>18</v>
      </c>
      <c r="H14" s="34">
        <f>'January 1, 2008'!H14*1.03</f>
        <v>2756.1358</v>
      </c>
      <c r="I14" s="34">
        <f>'January 1, 2008'!I14*1.03</f>
        <v>2865.4085000000005</v>
      </c>
      <c r="J14" s="34">
        <f>'January 1, 2008'!J14*1.03</f>
        <v>3040.7916741132049</v>
      </c>
      <c r="K14" s="6"/>
      <c r="L14" s="6"/>
      <c r="M14" s="6"/>
    </row>
    <row r="15" spans="1:14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3" t="s">
        <v>18</v>
      </c>
      <c r="H15" s="34">
        <f>'January 1, 2008'!H15*1.03</f>
        <v>2756.1358</v>
      </c>
      <c r="I15" s="34">
        <f>'January 1, 2008'!I15*1.03</f>
        <v>2865.4085000000005</v>
      </c>
      <c r="J15" s="34">
        <f>'January 1, 2008'!J15*1.03</f>
        <v>3040.7916741132049</v>
      </c>
      <c r="K15" s="6"/>
      <c r="L15" s="6"/>
      <c r="M15" s="6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3" t="s">
        <v>18</v>
      </c>
      <c r="H16" s="34">
        <f>'January 1, 2008'!H16*1.03</f>
        <v>2756.1358</v>
      </c>
      <c r="I16" s="34">
        <f>'January 1, 2008'!I16*1.03</f>
        <v>2865.4085000000005</v>
      </c>
      <c r="J16" s="34">
        <f>'January 1, 2008'!J16*1.03</f>
        <v>3040.7916741132049</v>
      </c>
      <c r="K16" s="6"/>
      <c r="L16" s="6"/>
      <c r="M16" s="6"/>
    </row>
    <row r="17" spans="1:18" ht="39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3" t="s">
        <v>18</v>
      </c>
      <c r="H17" s="34">
        <f>'January 1, 2008'!H17*1.03</f>
        <v>2774.1711</v>
      </c>
      <c r="I17" s="34">
        <f>'January 1, 2008'!I17*1.03</f>
        <v>2820.8507</v>
      </c>
      <c r="J17" s="34">
        <f>'January 1, 2008'!J17*1.03</f>
        <v>2868.5911999999998</v>
      </c>
      <c r="K17" s="34">
        <f>'January 1, 2008'!K17*1.03</f>
        <v>2917.3926000000001</v>
      </c>
      <c r="L17" s="34">
        <f>'January 1, 2008'!L17*1.03</f>
        <v>2966.1940000000004</v>
      </c>
      <c r="M17" s="34">
        <f>'January 1, 2008'!M17*1.03</f>
        <v>3147.1389108544745</v>
      </c>
    </row>
    <row r="18" spans="1:18" ht="13.15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3" t="s">
        <v>18</v>
      </c>
      <c r="H18" s="34">
        <f>'January 1, 2008'!H18*1.03</f>
        <v>2774.1711</v>
      </c>
      <c r="I18" s="34">
        <f>'January 1, 2008'!I18*1.03</f>
        <v>2820.8507</v>
      </c>
      <c r="J18" s="34">
        <f>'January 1, 2008'!J18*1.03</f>
        <v>2868.5911999999998</v>
      </c>
      <c r="K18" s="34">
        <f>'January 1, 2008'!K18*1.03</f>
        <v>2917.3926000000001</v>
      </c>
      <c r="L18" s="34">
        <f>'January 1, 2008'!L18*1.03</f>
        <v>2966.1940000000004</v>
      </c>
      <c r="M18" s="34">
        <f>'January 1, 2008'!M18*1.03</f>
        <v>3147.1389108544745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'January 1, 2008'!C21*1.03</f>
        <v>0.77047487843164997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'January 1, 2008'!C22*1.03</f>
        <v>0.33640452438564999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'January 1, 2008'!A33*1.03</f>
        <v>13.2825528338076</v>
      </c>
      <c r="B33" s="289" t="s">
        <v>54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R33" s="25"/>
    </row>
    <row r="34" spans="1:18">
      <c r="A34" s="14">
        <f>'January 1, 2008'!A34*1.03</f>
        <v>18.8386533655964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'January 1, 2008'!A35*1.03</f>
        <v>24.394753897385201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'January 1, 2008'!A36*1.03</f>
        <v>29.950854429174001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2008'!A37*1.03</f>
        <v>35.506954960962801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2008'!A38*1.03</f>
        <v>107.31304327902234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'January 1, 2008'!A39*1.03</f>
        <v>113.34662120026177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'January 1, 2008'!A40*1.03</f>
        <v>119.36934736265002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'January 1, 2008'!A41*1.03</f>
        <v>156.13510635034621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'January 1, 2008'!A42*1.03</f>
        <v>162.15783251273444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'January 1, 2008'!A43*1.03</f>
        <v>168.19141043397386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'January 1, 2008'!A44*1.03</f>
        <v>174.22498835521327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'January 1, 2008'!A45*1.03</f>
        <v>191.32736030462564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'January 1, 2008'!A46*1.03</f>
        <v>240.37731031182363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'January 1, 2008'!A47*1.03</f>
        <v>246.41088823306305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'January 1, 2008'!A48*1.03</f>
        <v>252.44446615430243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'January 1, 2008'!A49*1.03</f>
        <v>258.47804407554185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'January 1, 2008'!A50*1.03</f>
        <v>264.51162199678129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'January 1, 2008'!A51*1.03</f>
        <v>288.97148644727338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 ht="13.15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 ht="13.15">
      <c r="A60" s="1"/>
    </row>
    <row r="61" spans="1:18" ht="13.15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 ht="13.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 ht="13.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 ht="13.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 ht="13.15">
      <c r="A85" s="1"/>
    </row>
    <row r="86" spans="1:15">
      <c r="A86" s="22"/>
      <c r="B86" s="23"/>
    </row>
    <row r="87" spans="1:15">
      <c r="A87" s="25"/>
      <c r="B87" s="289"/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</row>
    <row r="88" spans="1:15">
      <c r="A88" s="25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sheetProtection password="E3B7" sheet="1" objects="1" scenarios="1"/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8C0D-E679-46BB-A2AB-12D48967761D}">
  <dimension ref="A1:AS102"/>
  <sheetViews>
    <sheetView showGridLines="0" topLeftCell="A8" zoomScaleNormal="100" workbookViewId="0">
      <selection activeCell="H19" sqref="H19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6.3984375" style="42" bestFit="1" customWidth="1"/>
    <col min="4" max="4" width="26.86328125" style="42" bestFit="1" customWidth="1"/>
    <col min="5" max="5" width="6.59765625" style="42" hidden="1" customWidth="1"/>
    <col min="6" max="6" width="2.1328125" style="42" hidden="1" customWidth="1"/>
    <col min="7" max="7" width="8.59765625" style="42" bestFit="1" customWidth="1"/>
    <col min="8" max="8" width="8.1328125" style="42" bestFit="1" customWidth="1"/>
    <col min="9" max="11" width="6.59765625" style="42" customWidth="1"/>
    <col min="12" max="12" width="6.59765625" style="42" bestFit="1" customWidth="1"/>
    <col min="13" max="13" width="6.3984375" style="42" customWidth="1"/>
    <col min="14" max="14" width="46.3984375" style="46" customWidth="1"/>
    <col min="15" max="15" width="23.86328125" style="210" hidden="1" customWidth="1"/>
    <col min="16" max="16" width="14.86328125" style="211" hidden="1" customWidth="1"/>
    <col min="17" max="17" width="11.59765625" style="211" hidden="1" customWidth="1"/>
    <col min="18" max="18" width="7.86328125" style="211" hidden="1" customWidth="1"/>
    <col min="19" max="19" width="24.3984375" style="214" hidden="1" customWidth="1"/>
    <col min="20" max="20" width="32.1328125" style="211" hidden="1" customWidth="1"/>
    <col min="21" max="21" width="12.265625" style="211" hidden="1" customWidth="1"/>
    <col min="22" max="25" width="7.3984375" style="211" hidden="1" customWidth="1"/>
    <col min="26" max="26" width="8.1328125" style="211" hidden="1" customWidth="1"/>
    <col min="27" max="36" width="9.1328125" style="42" hidden="1" customWidth="1"/>
    <col min="37" max="37" width="24.3984375" style="205" hidden="1" customWidth="1"/>
    <col min="38" max="38" width="5.86328125" style="205" hidden="1" customWidth="1"/>
    <col min="39" max="39" width="32.1328125" style="205" hidden="1" customWidth="1"/>
    <col min="40" max="40" width="9.3984375" style="205" hidden="1" customWidth="1"/>
    <col min="41" max="45" width="7.3984375" style="205" hidden="1" customWidth="1"/>
    <col min="46" max="16384" width="9.1328125" style="42"/>
  </cols>
  <sheetData>
    <row r="1" spans="1:45">
      <c r="A1" s="42" t="s">
        <v>310</v>
      </c>
    </row>
    <row r="2" spans="1:45" ht="15.75">
      <c r="A2" s="273" t="s">
        <v>140</v>
      </c>
      <c r="B2" s="274"/>
      <c r="C2" s="274"/>
      <c r="D2" s="274"/>
      <c r="E2" s="275"/>
      <c r="F2" s="41"/>
      <c r="G2" s="41"/>
      <c r="H2" s="41"/>
      <c r="O2" s="210" t="s">
        <v>288</v>
      </c>
      <c r="P2" s="211" t="s">
        <v>315</v>
      </c>
      <c r="Q2" s="212" t="s">
        <v>316</v>
      </c>
      <c r="R2" s="213">
        <v>1.03</v>
      </c>
    </row>
    <row r="3" spans="1:45" ht="15.75">
      <c r="A3" s="246" t="s">
        <v>323</v>
      </c>
      <c r="B3" s="44"/>
      <c r="C3" s="44"/>
      <c r="D3" s="41"/>
      <c r="E3" s="41"/>
      <c r="F3" s="282" t="s">
        <v>80</v>
      </c>
      <c r="G3" s="282"/>
      <c r="H3" s="282"/>
      <c r="I3" s="282"/>
      <c r="J3" s="282"/>
      <c r="K3" s="282"/>
      <c r="L3" s="282"/>
      <c r="M3" s="41"/>
      <c r="N3" s="44"/>
      <c r="U3" s="211">
        <v>3</v>
      </c>
      <c r="V3" s="211">
        <v>4</v>
      </c>
      <c r="W3" s="211">
        <v>5</v>
      </c>
      <c r="X3" s="211">
        <v>6</v>
      </c>
      <c r="Y3" s="211">
        <v>7</v>
      </c>
      <c r="Z3" s="211">
        <v>8</v>
      </c>
    </row>
    <row r="4" spans="1:45">
      <c r="A4" s="247" t="s">
        <v>319</v>
      </c>
      <c r="B4" s="44"/>
      <c r="C4" s="44"/>
      <c r="D4" s="41"/>
      <c r="E4" s="41"/>
      <c r="F4" s="43"/>
      <c r="G4" s="43"/>
      <c r="H4" s="43"/>
      <c r="I4" s="43"/>
      <c r="J4" s="43"/>
      <c r="K4" s="43"/>
      <c r="L4" s="43"/>
      <c r="M4" s="41"/>
      <c r="N4" s="44"/>
    </row>
    <row r="5" spans="1:45">
      <c r="A5" s="50" t="s">
        <v>318</v>
      </c>
      <c r="B5" s="44"/>
      <c r="C5" s="44"/>
      <c r="D5" s="41"/>
      <c r="E5" s="41"/>
      <c r="F5" s="43"/>
      <c r="G5" s="43"/>
      <c r="H5" s="43"/>
      <c r="I5" s="43"/>
      <c r="J5" s="43"/>
      <c r="K5" s="43"/>
      <c r="L5" s="43"/>
      <c r="M5" s="41"/>
      <c r="N5" s="44"/>
    </row>
    <row r="6" spans="1:45" ht="14.65" thickBot="1">
      <c r="A6" s="50"/>
      <c r="B6" s="44"/>
      <c r="C6" s="44"/>
      <c r="D6" s="41"/>
      <c r="E6" s="41"/>
      <c r="F6" s="43"/>
      <c r="G6" s="43"/>
      <c r="H6" s="43"/>
      <c r="I6" s="43"/>
      <c r="J6" s="43"/>
      <c r="K6" s="43"/>
      <c r="L6" s="43"/>
      <c r="M6" s="41"/>
      <c r="N6" s="44"/>
      <c r="O6" s="222" t="s">
        <v>301</v>
      </c>
      <c r="AK6" s="248" t="s">
        <v>302</v>
      </c>
    </row>
    <row r="7" spans="1:45" ht="14.65" thickBot="1">
      <c r="A7" s="43"/>
      <c r="B7" s="44"/>
      <c r="C7" s="44"/>
      <c r="D7" s="41"/>
      <c r="E7" s="41"/>
      <c r="F7" s="43"/>
      <c r="G7" s="283" t="s">
        <v>300</v>
      </c>
      <c r="H7" s="284"/>
      <c r="I7" s="284"/>
      <c r="J7" s="284"/>
      <c r="K7" s="284"/>
      <c r="L7" s="285"/>
      <c r="M7" s="41"/>
      <c r="N7" s="44"/>
    </row>
    <row r="8" spans="1:45" ht="30" customHeight="1" thickBot="1">
      <c r="A8" s="175" t="s">
        <v>137</v>
      </c>
      <c r="B8" s="176" t="s">
        <v>114</v>
      </c>
      <c r="C8" s="176" t="s">
        <v>138</v>
      </c>
      <c r="D8" s="177" t="s">
        <v>4</v>
      </c>
      <c r="E8" s="177" t="s">
        <v>5</v>
      </c>
      <c r="F8" s="249" t="s">
        <v>6</v>
      </c>
      <c r="G8" s="255" t="s">
        <v>7</v>
      </c>
      <c r="H8" s="256" t="s">
        <v>8</v>
      </c>
      <c r="I8" s="256" t="s">
        <v>9</v>
      </c>
      <c r="J8" s="256" t="s">
        <v>10</v>
      </c>
      <c r="K8" s="256" t="s">
        <v>11</v>
      </c>
      <c r="L8" s="257" t="s">
        <v>12</v>
      </c>
      <c r="M8" s="45"/>
      <c r="N8" s="42"/>
      <c r="O8" s="215" t="s">
        <v>285</v>
      </c>
      <c r="P8" s="215" t="s">
        <v>277</v>
      </c>
      <c r="Q8" s="215" t="s">
        <v>138</v>
      </c>
      <c r="R8" s="215" t="s">
        <v>286</v>
      </c>
      <c r="S8" s="215" t="s">
        <v>137</v>
      </c>
      <c r="T8" s="216" t="s">
        <v>279</v>
      </c>
      <c r="U8" s="216" t="s">
        <v>7</v>
      </c>
      <c r="V8" s="216" t="s">
        <v>8</v>
      </c>
      <c r="W8" s="216" t="s">
        <v>9</v>
      </c>
      <c r="X8" s="216" t="s">
        <v>10</v>
      </c>
      <c r="Y8" s="216" t="s">
        <v>11</v>
      </c>
      <c r="Z8" s="216" t="s">
        <v>12</v>
      </c>
      <c r="AK8" s="204" t="s">
        <v>137</v>
      </c>
      <c r="AL8" s="164" t="s">
        <v>138</v>
      </c>
      <c r="AM8" s="161" t="s">
        <v>279</v>
      </c>
      <c r="AN8" s="161" t="s">
        <v>7</v>
      </c>
      <c r="AO8" s="161" t="s">
        <v>8</v>
      </c>
      <c r="AP8" s="161" t="s">
        <v>9</v>
      </c>
      <c r="AQ8" s="161" t="s">
        <v>10</v>
      </c>
      <c r="AR8" s="161" t="s">
        <v>11</v>
      </c>
      <c r="AS8" s="161" t="s">
        <v>12</v>
      </c>
    </row>
    <row r="9" spans="1:45" ht="18.75" customHeight="1">
      <c r="A9" s="179" t="s">
        <v>157</v>
      </c>
      <c r="B9" s="173" t="s">
        <v>115</v>
      </c>
      <c r="C9" s="173" t="str">
        <f>Q9</f>
        <v>CFG 5</v>
      </c>
      <c r="D9" s="174" t="s">
        <v>84</v>
      </c>
      <c r="E9" s="171"/>
      <c r="F9" s="250" t="s">
        <v>17</v>
      </c>
      <c r="G9" s="258">
        <f ca="1">U9*$O9</f>
        <v>2242.709375141721</v>
      </c>
      <c r="H9" s="259"/>
      <c r="I9" s="259"/>
      <c r="J9" s="259"/>
      <c r="K9" s="259"/>
      <c r="L9" s="260"/>
      <c r="M9" s="45"/>
      <c r="N9" s="42"/>
      <c r="O9" s="217">
        <v>80</v>
      </c>
      <c r="P9" s="218" t="s">
        <v>143</v>
      </c>
      <c r="Q9" s="219" t="s">
        <v>156</v>
      </c>
      <c r="R9" s="219" t="s">
        <v>287</v>
      </c>
      <c r="S9" s="219" t="str">
        <f t="shared" ref="S9:S22" si="0">A9</f>
        <v>04440C</v>
      </c>
      <c r="T9" s="217" t="s">
        <v>84</v>
      </c>
      <c r="U9" s="276">
        <f ca="1">'January 1, 2026'!U9*IncreasePerc2027</f>
        <v>28.033867189271511</v>
      </c>
      <c r="V9" s="276"/>
      <c r="W9" s="276"/>
      <c r="X9" s="276"/>
      <c r="Y9" s="276"/>
      <c r="Z9" s="276"/>
      <c r="AA9" s="279">
        <f ca="1">U9/'January 1, 2026'!U9</f>
        <v>1.03</v>
      </c>
      <c r="AB9" s="279"/>
      <c r="AC9" s="279"/>
      <c r="AD9" s="279"/>
      <c r="AE9" s="279"/>
      <c r="AF9" s="279"/>
      <c r="AK9" s="165" t="str">
        <f>S9</f>
        <v>04440C</v>
      </c>
      <c r="AL9" s="165" t="str">
        <f t="shared" ref="AL9:AL22" si="1">C9</f>
        <v>CFG 5</v>
      </c>
      <c r="AM9" s="165" t="str">
        <f>T9</f>
        <v>Fire Cadet</v>
      </c>
      <c r="AN9" s="206">
        <f ca="1">ROUND(U9,3)</f>
        <v>28.033999999999999</v>
      </c>
      <c r="AO9" s="165"/>
      <c r="AP9" s="165"/>
      <c r="AQ9" s="165"/>
      <c r="AR9" s="165"/>
      <c r="AS9" s="165"/>
    </row>
    <row r="10" spans="1:45" ht="18.75" customHeight="1">
      <c r="A10" s="180" t="s">
        <v>15</v>
      </c>
      <c r="B10" s="63" t="s">
        <v>115</v>
      </c>
      <c r="C10" s="173" t="str">
        <f t="shared" ref="C10:C22" si="2">Q10</f>
        <v>CFH 1</v>
      </c>
      <c r="D10" s="59" t="s">
        <v>16</v>
      </c>
      <c r="E10" s="59">
        <v>353</v>
      </c>
      <c r="F10" s="251" t="s">
        <v>17</v>
      </c>
      <c r="G10" s="253">
        <f ca="1">U10*$O10</f>
        <v>3203.8148002323619</v>
      </c>
      <c r="H10" s="188">
        <f t="shared" ref="H10:L22" ca="1" si="3">V10*$O10</f>
        <v>3331.9564399647556</v>
      </c>
      <c r="I10" s="188">
        <f t="shared" ca="1" si="3"/>
        <v>3465.3004112247472</v>
      </c>
      <c r="J10" s="188">
        <f t="shared" ca="1" si="3"/>
        <v>3603.8467140123357</v>
      </c>
      <c r="K10" s="188">
        <f t="shared" ca="1" si="3"/>
        <v>3748.0060587112789</v>
      </c>
      <c r="L10" s="189">
        <f t="shared" ca="1" si="3"/>
        <v>3897.9153487828303</v>
      </c>
      <c r="M10" s="47"/>
      <c r="N10" s="42"/>
      <c r="O10" s="217">
        <v>109.2</v>
      </c>
      <c r="P10" s="219" t="s">
        <v>144</v>
      </c>
      <c r="Q10" s="219" t="s">
        <v>235</v>
      </c>
      <c r="R10" s="219" t="s">
        <v>287</v>
      </c>
      <c r="S10" s="219" t="str">
        <f t="shared" si="0"/>
        <v>04450C</v>
      </c>
      <c r="T10" s="217" t="s">
        <v>16</v>
      </c>
      <c r="U10" s="276">
        <f ca="1">'January 1, 2026'!U10*IncreasePerc2027</f>
        <v>29.338963372091225</v>
      </c>
      <c r="V10" s="276">
        <f ca="1">'January 1, 2026'!V10*IncreasePerc2027</f>
        <v>30.51242161139886</v>
      </c>
      <c r="W10" s="276">
        <f ca="1">'January 1, 2026'!W10*IncreasePerc2027</f>
        <v>31.733520249310871</v>
      </c>
      <c r="X10" s="276">
        <f ca="1">'January 1, 2026'!X10*IncreasePerc2027</f>
        <v>33.00225928582725</v>
      </c>
      <c r="Y10" s="276">
        <f ca="1">'January 1, 2026'!Y10*IncreasePerc2027</f>
        <v>34.322399805048342</v>
      </c>
      <c r="Z10" s="276">
        <f ca="1">'January 1, 2026'!Z10*IncreasePerc2027</f>
        <v>35.69519550167427</v>
      </c>
      <c r="AA10" s="279">
        <f ca="1">U10/'January 1, 2026'!U10</f>
        <v>1.03</v>
      </c>
      <c r="AB10" s="279">
        <f ca="1">V10/'January 1, 2026'!V10</f>
        <v>1.03</v>
      </c>
      <c r="AC10" s="279">
        <f ca="1">W10/'January 1, 2026'!W10</f>
        <v>1.03</v>
      </c>
      <c r="AD10" s="279">
        <f ca="1">X10/'January 1, 2026'!X10</f>
        <v>1.03</v>
      </c>
      <c r="AE10" s="279">
        <f ca="1">Y10/'January 1, 2026'!Y10</f>
        <v>1.03</v>
      </c>
      <c r="AF10" s="279">
        <f ca="1">Z10/'January 1, 2026'!Z10</f>
        <v>1.03</v>
      </c>
      <c r="AK10" s="165" t="str">
        <f>S10</f>
        <v>04450C</v>
      </c>
      <c r="AL10" s="165" t="str">
        <f t="shared" si="1"/>
        <v>CFH 1</v>
      </c>
      <c r="AM10" s="165" t="str">
        <f>T10</f>
        <v>Fire Fighter</v>
      </c>
      <c r="AN10" s="206">
        <f ca="1">ROUND(U10,3)</f>
        <v>29.338999999999999</v>
      </c>
      <c r="AO10" s="206">
        <f t="shared" ref="AO10:AS23" ca="1" si="4">ROUND(V10,3)</f>
        <v>30.512</v>
      </c>
      <c r="AP10" s="206">
        <f t="shared" ca="1" si="4"/>
        <v>31.734000000000002</v>
      </c>
      <c r="AQ10" s="206">
        <f t="shared" ca="1" si="4"/>
        <v>33.002000000000002</v>
      </c>
      <c r="AR10" s="206">
        <f t="shared" ca="1" si="4"/>
        <v>34.322000000000003</v>
      </c>
      <c r="AS10" s="206">
        <f t="shared" ca="1" si="4"/>
        <v>35.695</v>
      </c>
    </row>
    <row r="11" spans="1:45" ht="18.75" customHeight="1">
      <c r="A11" s="180" t="s">
        <v>19</v>
      </c>
      <c r="B11" s="63" t="s">
        <v>115</v>
      </c>
      <c r="C11" s="173" t="str">
        <f t="shared" si="2"/>
        <v>CFI 1</v>
      </c>
      <c r="D11" s="59" t="s">
        <v>20</v>
      </c>
      <c r="E11" s="59">
        <v>353</v>
      </c>
      <c r="F11" s="251" t="s">
        <v>17</v>
      </c>
      <c r="G11" s="253">
        <f t="shared" ref="G11:G22" ca="1" si="5">U11*$O11</f>
        <v>3203.8418800378845</v>
      </c>
      <c r="H11" s="188">
        <f t="shared" ca="1" si="3"/>
        <v>3332.0196261776409</v>
      </c>
      <c r="I11" s="188">
        <f t="shared" ca="1" si="3"/>
        <v>3465.312446693868</v>
      </c>
      <c r="J11" s="188">
        <f t="shared" ca="1" si="3"/>
        <v>3603.9209327385829</v>
      </c>
      <c r="K11" s="188">
        <f t="shared" ca="1" si="3"/>
        <v>3748.0456754638026</v>
      </c>
      <c r="L11" s="189">
        <f t="shared" ca="1" si="3"/>
        <v>3897.9875615975557</v>
      </c>
      <c r="M11" s="47"/>
      <c r="N11" s="42"/>
      <c r="O11" s="217">
        <v>80</v>
      </c>
      <c r="P11" s="219" t="s">
        <v>143</v>
      </c>
      <c r="Q11" s="219" t="s">
        <v>234</v>
      </c>
      <c r="R11" s="219" t="s">
        <v>287</v>
      </c>
      <c r="S11" s="219" t="str">
        <f t="shared" si="0"/>
        <v>04451C</v>
      </c>
      <c r="T11" s="217" t="s">
        <v>20</v>
      </c>
      <c r="U11" s="276">
        <f ca="1">'January 1, 2026'!U11*IncreasePerc2027</f>
        <v>40.048023500473555</v>
      </c>
      <c r="V11" s="276">
        <f ca="1">'January 1, 2026'!V11*IncreasePerc2027</f>
        <v>41.65024532722051</v>
      </c>
      <c r="W11" s="276">
        <f ca="1">'January 1, 2026'!W11*IncreasePerc2027</f>
        <v>43.316405583673351</v>
      </c>
      <c r="X11" s="276">
        <f ca="1">'January 1, 2026'!X11*IncreasePerc2027</f>
        <v>45.049011659232285</v>
      </c>
      <c r="Y11" s="276">
        <f ca="1">'January 1, 2026'!Y11*IncreasePerc2027</f>
        <v>46.850570943297534</v>
      </c>
      <c r="Z11" s="276">
        <f ca="1">'January 1, 2026'!Z11*IncreasePerc2027</f>
        <v>48.724844519969444</v>
      </c>
      <c r="AA11" s="279">
        <f ca="1">U11/'January 1, 2026'!U11</f>
        <v>1.03</v>
      </c>
      <c r="AB11" s="279">
        <f ca="1">V11/'January 1, 2026'!V11</f>
        <v>1.03</v>
      </c>
      <c r="AC11" s="279">
        <f ca="1">W11/'January 1, 2026'!W11</f>
        <v>1.03</v>
      </c>
      <c r="AD11" s="279">
        <f ca="1">X11/'January 1, 2026'!X11</f>
        <v>1.03</v>
      </c>
      <c r="AE11" s="279">
        <f ca="1">Y11/'January 1, 2026'!Y11</f>
        <v>1.03</v>
      </c>
      <c r="AF11" s="279">
        <f ca="1">Z11/'January 1, 2026'!Z11</f>
        <v>1.03</v>
      </c>
      <c r="AK11" s="165" t="str">
        <f t="shared" ref="AK11:AK23" si="6">S11</f>
        <v>04451C</v>
      </c>
      <c r="AL11" s="165" t="str">
        <f t="shared" si="1"/>
        <v>CFI 1</v>
      </c>
      <c r="AM11" s="165" t="str">
        <f t="shared" ref="AM11:AM23" si="7">T11</f>
        <v>Fire Fighter (40 hrs.)</v>
      </c>
      <c r="AN11" s="206">
        <f t="shared" ref="AN11:AN23" ca="1" si="8">ROUND(U11,3)</f>
        <v>40.048000000000002</v>
      </c>
      <c r="AO11" s="206">
        <f t="shared" ca="1" si="4"/>
        <v>41.65</v>
      </c>
      <c r="AP11" s="206">
        <f t="shared" ca="1" si="4"/>
        <v>43.316000000000003</v>
      </c>
      <c r="AQ11" s="206">
        <f t="shared" ca="1" si="4"/>
        <v>45.048999999999999</v>
      </c>
      <c r="AR11" s="206">
        <f t="shared" ca="1" si="4"/>
        <v>46.850999999999999</v>
      </c>
      <c r="AS11" s="206">
        <f t="shared" ca="1" si="4"/>
        <v>48.725000000000001</v>
      </c>
    </row>
    <row r="12" spans="1:45" ht="18.75" customHeight="1">
      <c r="A12" s="180" t="s">
        <v>21</v>
      </c>
      <c r="B12" s="63" t="s">
        <v>115</v>
      </c>
      <c r="C12" s="173" t="str">
        <f t="shared" si="2"/>
        <v>CFF 1</v>
      </c>
      <c r="D12" s="59" t="s">
        <v>22</v>
      </c>
      <c r="E12" s="59"/>
      <c r="F12" s="251" t="s">
        <v>17</v>
      </c>
      <c r="G12" s="253">
        <f t="shared" ca="1" si="5"/>
        <v>3203.8148002323619</v>
      </c>
      <c r="H12" s="188">
        <f t="shared" ca="1" si="3"/>
        <v>3331.9564399647556</v>
      </c>
      <c r="I12" s="188">
        <f t="shared" ca="1" si="3"/>
        <v>3465.3004112247472</v>
      </c>
      <c r="J12" s="188">
        <f t="shared" ca="1" si="3"/>
        <v>3603.8467140123357</v>
      </c>
      <c r="K12" s="188">
        <f t="shared" ca="1" si="3"/>
        <v>3748.0060587112789</v>
      </c>
      <c r="L12" s="189">
        <f t="shared" ca="1" si="3"/>
        <v>3897.9153487828303</v>
      </c>
      <c r="M12" s="47"/>
      <c r="N12" s="42"/>
      <c r="O12" s="217">
        <v>109.2</v>
      </c>
      <c r="P12" s="219" t="s">
        <v>144</v>
      </c>
      <c r="Q12" s="219" t="s">
        <v>148</v>
      </c>
      <c r="R12" s="219" t="s">
        <v>287</v>
      </c>
      <c r="S12" s="219" t="str">
        <f t="shared" si="0"/>
        <v>04388C</v>
      </c>
      <c r="T12" s="217" t="s">
        <v>22</v>
      </c>
      <c r="U12" s="276">
        <f ca="1">'January 1, 2026'!U12*IncreasePerc2027</f>
        <v>29.338963372091225</v>
      </c>
      <c r="V12" s="276">
        <f ca="1">'January 1, 2026'!V12*IncreasePerc2027</f>
        <v>30.51242161139886</v>
      </c>
      <c r="W12" s="276">
        <f ca="1">'January 1, 2026'!W12*IncreasePerc2027</f>
        <v>31.733520249310871</v>
      </c>
      <c r="X12" s="276">
        <f ca="1">'January 1, 2026'!X12*IncreasePerc2027</f>
        <v>33.00225928582725</v>
      </c>
      <c r="Y12" s="276">
        <f ca="1">'January 1, 2026'!Y12*IncreasePerc2027</f>
        <v>34.322399805048342</v>
      </c>
      <c r="Z12" s="276">
        <f ca="1">'January 1, 2026'!Z12*IncreasePerc2027</f>
        <v>35.69519550167427</v>
      </c>
      <c r="AA12" s="279">
        <f ca="1">U12/'January 1, 2026'!U12</f>
        <v>1.03</v>
      </c>
      <c r="AB12" s="279">
        <f ca="1">V12/'January 1, 2026'!V12</f>
        <v>1.03</v>
      </c>
      <c r="AC12" s="279">
        <f ca="1">W12/'January 1, 2026'!W12</f>
        <v>1.03</v>
      </c>
      <c r="AD12" s="279">
        <f ca="1">X12/'January 1, 2026'!X12</f>
        <v>1.03</v>
      </c>
      <c r="AE12" s="279">
        <f ca="1">Y12/'January 1, 2026'!Y12</f>
        <v>1.03</v>
      </c>
      <c r="AF12" s="279">
        <f ca="1">Z12/'January 1, 2026'!Z12</f>
        <v>1.03</v>
      </c>
      <c r="AK12" s="165" t="str">
        <f t="shared" si="6"/>
        <v>04388C</v>
      </c>
      <c r="AL12" s="165" t="str">
        <f t="shared" si="1"/>
        <v>CFF 1</v>
      </c>
      <c r="AM12" s="165" t="str">
        <f t="shared" si="7"/>
        <v>Fire Inspector 1</v>
      </c>
      <c r="AN12" s="206">
        <f t="shared" ca="1" si="8"/>
        <v>29.338999999999999</v>
      </c>
      <c r="AO12" s="206">
        <f t="shared" ca="1" si="4"/>
        <v>30.512</v>
      </c>
      <c r="AP12" s="206">
        <f t="shared" ca="1" si="4"/>
        <v>31.734000000000002</v>
      </c>
      <c r="AQ12" s="206">
        <f t="shared" ca="1" si="4"/>
        <v>33.002000000000002</v>
      </c>
      <c r="AR12" s="206">
        <f t="shared" ca="1" si="4"/>
        <v>34.322000000000003</v>
      </c>
      <c r="AS12" s="206">
        <f t="shared" ca="1" si="4"/>
        <v>35.695</v>
      </c>
    </row>
    <row r="13" spans="1:45" ht="18.75" customHeight="1">
      <c r="A13" s="180" t="s">
        <v>23</v>
      </c>
      <c r="B13" s="63" t="s">
        <v>115</v>
      </c>
      <c r="C13" s="173" t="str">
        <f t="shared" si="2"/>
        <v>CFF 2</v>
      </c>
      <c r="D13" s="59" t="s">
        <v>24</v>
      </c>
      <c r="E13" s="59"/>
      <c r="F13" s="251" t="s">
        <v>17</v>
      </c>
      <c r="G13" s="253">
        <f t="shared" ca="1" si="5"/>
        <v>3991.42725799139</v>
      </c>
      <c r="H13" s="188">
        <f t="shared" ca="1" si="3"/>
        <v>4148.1399655698851</v>
      </c>
      <c r="I13" s="188">
        <f t="shared" ca="1" si="3"/>
        <v>4378.309594318057</v>
      </c>
      <c r="J13" s="188"/>
      <c r="K13" s="188"/>
      <c r="L13" s="189"/>
      <c r="M13" s="47"/>
      <c r="N13" s="42"/>
      <c r="O13" s="217">
        <v>109.2</v>
      </c>
      <c r="P13" s="219" t="s">
        <v>144</v>
      </c>
      <c r="Q13" s="219" t="s">
        <v>150</v>
      </c>
      <c r="R13" s="219" t="s">
        <v>287</v>
      </c>
      <c r="S13" s="219" t="str">
        <f t="shared" si="0"/>
        <v>04420C</v>
      </c>
      <c r="T13" s="278" t="s">
        <v>24</v>
      </c>
      <c r="U13" s="276">
        <f ca="1">'January 1, 2026'!U13*IncreasePerc2027</f>
        <v>36.55153166658782</v>
      </c>
      <c r="V13" s="276">
        <f ca="1">'January 1, 2026'!V13*IncreasePerc2027</f>
        <v>37.986629721335945</v>
      </c>
      <c r="W13" s="276">
        <f ca="1">'January 1, 2026'!W13*IncreasePerc2027</f>
        <v>40.094410204377809</v>
      </c>
      <c r="X13" s="276"/>
      <c r="Y13" s="276"/>
      <c r="Z13" s="276"/>
      <c r="AA13" s="279">
        <f ca="1">U13/'January 1, 2026'!U13</f>
        <v>1.03</v>
      </c>
      <c r="AB13" s="279">
        <f ca="1">V13/'January 1, 2026'!V13</f>
        <v>1.03</v>
      </c>
      <c r="AC13" s="279">
        <f ca="1">W13/'January 1, 2026'!W13</f>
        <v>1.03</v>
      </c>
      <c r="AD13" s="279"/>
      <c r="AE13" s="279"/>
      <c r="AF13" s="279"/>
      <c r="AK13" s="165" t="str">
        <f t="shared" si="6"/>
        <v>04420C</v>
      </c>
      <c r="AL13" s="165" t="str">
        <f t="shared" si="1"/>
        <v>CFF 2</v>
      </c>
      <c r="AM13" s="165" t="str">
        <f t="shared" si="7"/>
        <v>Fire Motor Operator</v>
      </c>
      <c r="AN13" s="206">
        <f t="shared" ca="1" si="8"/>
        <v>36.552</v>
      </c>
      <c r="AO13" s="206">
        <f t="shared" ca="1" si="4"/>
        <v>37.987000000000002</v>
      </c>
      <c r="AP13" s="206">
        <f t="shared" ca="1" si="4"/>
        <v>40.094000000000001</v>
      </c>
      <c r="AQ13" s="165"/>
      <c r="AR13" s="165"/>
      <c r="AS13" s="165"/>
    </row>
    <row r="14" spans="1:45" ht="18.75" customHeight="1">
      <c r="A14" s="180" t="s">
        <v>195</v>
      </c>
      <c r="B14" s="63" t="s">
        <v>115</v>
      </c>
      <c r="C14" s="173" t="str">
        <f t="shared" si="2"/>
        <v>CFG 2</v>
      </c>
      <c r="D14" s="59" t="s">
        <v>26</v>
      </c>
      <c r="E14" s="59"/>
      <c r="F14" s="251" t="s">
        <v>17</v>
      </c>
      <c r="G14" s="253">
        <f t="shared" ca="1" si="5"/>
        <v>3991.46253696025</v>
      </c>
      <c r="H14" s="188">
        <f t="shared" ca="1" si="3"/>
        <v>4148.201955758027</v>
      </c>
      <c r="I14" s="188">
        <f t="shared" ca="1" si="3"/>
        <v>4378.3030751056149</v>
      </c>
      <c r="J14" s="188"/>
      <c r="K14" s="188"/>
      <c r="L14" s="189"/>
      <c r="M14" s="47"/>
      <c r="N14" s="42"/>
      <c r="O14" s="217">
        <v>80</v>
      </c>
      <c r="P14" s="219" t="s">
        <v>143</v>
      </c>
      <c r="Q14" s="219" t="s">
        <v>151</v>
      </c>
      <c r="R14" s="219" t="s">
        <v>287</v>
      </c>
      <c r="S14" s="219" t="str">
        <f t="shared" si="0"/>
        <v>04421C</v>
      </c>
      <c r="T14" s="278" t="s">
        <v>26</v>
      </c>
      <c r="U14" s="276">
        <f ca="1">'January 1, 2026'!U14*IncreasePerc2027</f>
        <v>49.893281712003123</v>
      </c>
      <c r="V14" s="276">
        <f ca="1">'January 1, 2026'!V14*IncreasePerc2027</f>
        <v>51.852524446975337</v>
      </c>
      <c r="W14" s="276">
        <f ca="1">'January 1, 2026'!W14*IncreasePerc2027</f>
        <v>54.728788438820182</v>
      </c>
      <c r="X14" s="276"/>
      <c r="Y14" s="276"/>
      <c r="Z14" s="276"/>
      <c r="AA14" s="279">
        <f ca="1">U14/'January 1, 2026'!U14</f>
        <v>1.03</v>
      </c>
      <c r="AB14" s="279">
        <f ca="1">V14/'January 1, 2026'!V14</f>
        <v>1.03</v>
      </c>
      <c r="AC14" s="279">
        <f ca="1">W14/'January 1, 2026'!W14</f>
        <v>1.03</v>
      </c>
      <c r="AD14" s="279"/>
      <c r="AE14" s="279"/>
      <c r="AF14" s="279"/>
      <c r="AK14" s="165" t="str">
        <f t="shared" si="6"/>
        <v>04421C</v>
      </c>
      <c r="AL14" s="165" t="str">
        <f t="shared" si="1"/>
        <v>CFG 2</v>
      </c>
      <c r="AM14" s="165" t="str">
        <f t="shared" si="7"/>
        <v>Fire Motor Operator (40 hrs.)</v>
      </c>
      <c r="AN14" s="206">
        <f t="shared" ca="1" si="8"/>
        <v>49.893000000000001</v>
      </c>
      <c r="AO14" s="206">
        <f t="shared" ca="1" si="4"/>
        <v>51.853000000000002</v>
      </c>
      <c r="AP14" s="206">
        <f t="shared" ca="1" si="4"/>
        <v>54.728999999999999</v>
      </c>
      <c r="AQ14" s="165"/>
      <c r="AR14" s="165"/>
      <c r="AS14" s="165"/>
    </row>
    <row r="15" spans="1:45" ht="18.75" customHeight="1">
      <c r="A15" s="180" t="s">
        <v>27</v>
      </c>
      <c r="B15" s="63" t="s">
        <v>115</v>
      </c>
      <c r="C15" s="173" t="str">
        <f t="shared" si="2"/>
        <v>CFF 2</v>
      </c>
      <c r="D15" s="59" t="s">
        <v>28</v>
      </c>
      <c r="E15" s="59"/>
      <c r="F15" s="251" t="s">
        <v>17</v>
      </c>
      <c r="G15" s="253">
        <f t="shared" ca="1" si="5"/>
        <v>3991.42725799139</v>
      </c>
      <c r="H15" s="188">
        <f t="shared" ca="1" si="3"/>
        <v>4148.1399655698851</v>
      </c>
      <c r="I15" s="188">
        <f t="shared" ca="1" si="3"/>
        <v>4378.309594318057</v>
      </c>
      <c r="J15" s="188"/>
      <c r="K15" s="188"/>
      <c r="L15" s="189"/>
      <c r="M15" s="47"/>
      <c r="N15" s="42"/>
      <c r="O15" s="217">
        <v>109.2</v>
      </c>
      <c r="P15" s="219" t="s">
        <v>144</v>
      </c>
      <c r="Q15" s="219" t="s">
        <v>150</v>
      </c>
      <c r="R15" s="219" t="s">
        <v>287</v>
      </c>
      <c r="S15" s="219" t="str">
        <f t="shared" si="0"/>
        <v>04389C</v>
      </c>
      <c r="T15" s="278" t="s">
        <v>28</v>
      </c>
      <c r="U15" s="276">
        <f ca="1">'January 1, 2026'!U15*IncreasePerc2027</f>
        <v>36.55153166658782</v>
      </c>
      <c r="V15" s="276">
        <f ca="1">'January 1, 2026'!V15*IncreasePerc2027</f>
        <v>37.986629721335945</v>
      </c>
      <c r="W15" s="276">
        <f ca="1">'January 1, 2026'!W15*IncreasePerc2027</f>
        <v>40.094410204377809</v>
      </c>
      <c r="X15" s="276"/>
      <c r="Y15" s="276"/>
      <c r="Z15" s="276"/>
      <c r="AA15" s="279">
        <f ca="1">U15/'January 1, 2026'!U15</f>
        <v>1.03</v>
      </c>
      <c r="AB15" s="279">
        <f ca="1">V15/'January 1, 2026'!V15</f>
        <v>1.03</v>
      </c>
      <c r="AC15" s="279">
        <f ca="1">W15/'January 1, 2026'!W15</f>
        <v>1.03</v>
      </c>
      <c r="AD15" s="279"/>
      <c r="AE15" s="279"/>
      <c r="AF15" s="279"/>
      <c r="AK15" s="165" t="str">
        <f t="shared" si="6"/>
        <v>04389C</v>
      </c>
      <c r="AL15" s="165" t="str">
        <f t="shared" si="1"/>
        <v>CFF 2</v>
      </c>
      <c r="AM15" s="165" t="str">
        <f t="shared" si="7"/>
        <v>Fire Inspector 2</v>
      </c>
      <c r="AN15" s="206">
        <f t="shared" ca="1" si="8"/>
        <v>36.552</v>
      </c>
      <c r="AO15" s="206">
        <f t="shared" ca="1" si="4"/>
        <v>37.987000000000002</v>
      </c>
      <c r="AP15" s="206">
        <f t="shared" ca="1" si="4"/>
        <v>40.094000000000001</v>
      </c>
      <c r="AQ15" s="165"/>
      <c r="AR15" s="165"/>
      <c r="AS15" s="165"/>
    </row>
    <row r="16" spans="1:45" ht="18.75" customHeight="1">
      <c r="A16" s="180" t="s">
        <v>29</v>
      </c>
      <c r="B16" s="63" t="s">
        <v>115</v>
      </c>
      <c r="C16" s="173" t="str">
        <f t="shared" si="2"/>
        <v>CFF 3</v>
      </c>
      <c r="D16" s="59" t="s">
        <v>30</v>
      </c>
      <c r="E16" s="59"/>
      <c r="F16" s="251" t="s">
        <v>17</v>
      </c>
      <c r="G16" s="253">
        <f t="shared" ca="1" si="5"/>
        <v>4501.7965163678628</v>
      </c>
      <c r="H16" s="188">
        <f t="shared" ca="1" si="3"/>
        <v>4680.3186298411993</v>
      </c>
      <c r="I16" s="188">
        <f t="shared" ca="1" si="3"/>
        <v>4966.7206707815503</v>
      </c>
      <c r="J16" s="188"/>
      <c r="K16" s="188"/>
      <c r="L16" s="189"/>
      <c r="M16" s="47"/>
      <c r="N16" s="42"/>
      <c r="O16" s="217">
        <v>109.2</v>
      </c>
      <c r="P16" s="219" t="s">
        <v>144</v>
      </c>
      <c r="Q16" s="219" t="s">
        <v>152</v>
      </c>
      <c r="R16" s="219" t="s">
        <v>287</v>
      </c>
      <c r="S16" s="219" t="str">
        <f t="shared" si="0"/>
        <v>04370C</v>
      </c>
      <c r="T16" s="217" t="s">
        <v>30</v>
      </c>
      <c r="U16" s="276">
        <f ca="1">'January 1, 2026'!U16*IncreasePerc2027</f>
        <v>41.22524282388153</v>
      </c>
      <c r="V16" s="276">
        <f ca="1">'January 1, 2026'!V16*IncreasePerc2027</f>
        <v>42.860060712831491</v>
      </c>
      <c r="W16" s="276">
        <f ca="1">'January 1, 2026'!W16*IncreasePerc2027</f>
        <v>45.48279002547207</v>
      </c>
      <c r="X16" s="276"/>
      <c r="Y16" s="276"/>
      <c r="Z16" s="276"/>
      <c r="AA16" s="279">
        <f ca="1">U16/'January 1, 2026'!U16</f>
        <v>1.03</v>
      </c>
      <c r="AB16" s="279">
        <f ca="1">V16/'January 1, 2026'!V16</f>
        <v>1.03</v>
      </c>
      <c r="AC16" s="279">
        <f ca="1">W16/'January 1, 2026'!W16</f>
        <v>1.03</v>
      </c>
      <c r="AD16" s="279"/>
      <c r="AE16" s="279"/>
      <c r="AF16" s="279"/>
      <c r="AK16" s="165" t="str">
        <f t="shared" si="6"/>
        <v>04370C</v>
      </c>
      <c r="AL16" s="165" t="str">
        <f t="shared" si="1"/>
        <v>CFF 3</v>
      </c>
      <c r="AM16" s="165" t="str">
        <f t="shared" si="7"/>
        <v>Fire Captain</v>
      </c>
      <c r="AN16" s="206">
        <f t="shared" ca="1" si="8"/>
        <v>41.225000000000001</v>
      </c>
      <c r="AO16" s="206">
        <f t="shared" ca="1" si="4"/>
        <v>42.86</v>
      </c>
      <c r="AP16" s="206">
        <f t="shared" ca="1" si="4"/>
        <v>45.482999999999997</v>
      </c>
      <c r="AQ16" s="165"/>
      <c r="AR16" s="165"/>
      <c r="AS16" s="165"/>
    </row>
    <row r="17" spans="1:45" ht="18.75" customHeight="1">
      <c r="A17" s="180" t="s">
        <v>31</v>
      </c>
      <c r="B17" s="63" t="s">
        <v>115</v>
      </c>
      <c r="C17" s="173" t="str">
        <f t="shared" si="2"/>
        <v>CFG 3</v>
      </c>
      <c r="D17" s="59" t="s">
        <v>32</v>
      </c>
      <c r="E17" s="59"/>
      <c r="F17" s="251" t="s">
        <v>17</v>
      </c>
      <c r="G17" s="253">
        <f t="shared" ca="1" si="5"/>
        <v>4501.7669291729408</v>
      </c>
      <c r="H17" s="188">
        <f t="shared" ca="1" si="3"/>
        <v>4680.2930544693163</v>
      </c>
      <c r="I17" s="188">
        <f t="shared" ca="1" si="3"/>
        <v>4966.7372195515918</v>
      </c>
      <c r="J17" s="188"/>
      <c r="K17" s="188"/>
      <c r="L17" s="189"/>
      <c r="M17" s="47"/>
      <c r="N17" s="42"/>
      <c r="O17" s="217">
        <v>80</v>
      </c>
      <c r="P17" s="219" t="s">
        <v>143</v>
      </c>
      <c r="Q17" s="219" t="s">
        <v>153</v>
      </c>
      <c r="R17" s="219" t="s">
        <v>287</v>
      </c>
      <c r="S17" s="219" t="str">
        <f t="shared" si="0"/>
        <v>04371C</v>
      </c>
      <c r="T17" s="217" t="s">
        <v>32</v>
      </c>
      <c r="U17" s="276">
        <f ca="1">'January 1, 2026'!U17*IncreasePerc2027</f>
        <v>56.27208661466176</v>
      </c>
      <c r="V17" s="276">
        <f ca="1">'January 1, 2026'!V17*IncreasePerc2027</f>
        <v>58.503663180866454</v>
      </c>
      <c r="W17" s="276">
        <f ca="1">'January 1, 2026'!W17*IncreasePerc2027</f>
        <v>62.084215244394898</v>
      </c>
      <c r="X17" s="276"/>
      <c r="Y17" s="276"/>
      <c r="Z17" s="276"/>
      <c r="AA17" s="279">
        <f ca="1">U17/'January 1, 2026'!U17</f>
        <v>1.03</v>
      </c>
      <c r="AB17" s="279">
        <f ca="1">V17/'January 1, 2026'!V17</f>
        <v>1.03</v>
      </c>
      <c r="AC17" s="279">
        <f ca="1">W17/'January 1, 2026'!W17</f>
        <v>1.03</v>
      </c>
      <c r="AD17" s="279"/>
      <c r="AE17" s="279"/>
      <c r="AF17" s="279"/>
      <c r="AK17" s="165" t="str">
        <f t="shared" si="6"/>
        <v>04371C</v>
      </c>
      <c r="AL17" s="165" t="str">
        <f t="shared" si="1"/>
        <v>CFG 3</v>
      </c>
      <c r="AM17" s="165" t="str">
        <f t="shared" si="7"/>
        <v>Fire Captain (40 hrs.)</v>
      </c>
      <c r="AN17" s="206">
        <f t="shared" ca="1" si="8"/>
        <v>56.271999999999998</v>
      </c>
      <c r="AO17" s="206">
        <f t="shared" ca="1" si="4"/>
        <v>58.503999999999998</v>
      </c>
      <c r="AP17" s="206">
        <f t="shared" ca="1" si="4"/>
        <v>62.084000000000003</v>
      </c>
      <c r="AQ17" s="165"/>
      <c r="AR17" s="165"/>
      <c r="AS17" s="165"/>
    </row>
    <row r="18" spans="1:45" ht="18.75" customHeight="1">
      <c r="A18" s="180" t="s">
        <v>33</v>
      </c>
      <c r="B18" s="63" t="s">
        <v>115</v>
      </c>
      <c r="C18" s="173" t="str">
        <f t="shared" si="2"/>
        <v>CFF 3</v>
      </c>
      <c r="D18" s="59" t="s">
        <v>34</v>
      </c>
      <c r="E18" s="59"/>
      <c r="F18" s="251" t="s">
        <v>17</v>
      </c>
      <c r="G18" s="253">
        <f t="shared" ca="1" si="5"/>
        <v>4501.7965163678628</v>
      </c>
      <c r="H18" s="188">
        <f t="shared" ca="1" si="3"/>
        <v>4680.3186298411993</v>
      </c>
      <c r="I18" s="188">
        <f t="shared" ca="1" si="3"/>
        <v>4966.7206707815503</v>
      </c>
      <c r="J18" s="188"/>
      <c r="K18" s="188"/>
      <c r="L18" s="189"/>
      <c r="M18" s="47"/>
      <c r="N18" s="42"/>
      <c r="O18" s="217">
        <v>109.2</v>
      </c>
      <c r="P18" s="219" t="s">
        <v>144</v>
      </c>
      <c r="Q18" s="219" t="s">
        <v>152</v>
      </c>
      <c r="R18" s="219" t="s">
        <v>287</v>
      </c>
      <c r="S18" s="219" t="str">
        <f t="shared" si="0"/>
        <v>04400C</v>
      </c>
      <c r="T18" s="217" t="s">
        <v>34</v>
      </c>
      <c r="U18" s="276">
        <f ca="1">'January 1, 2026'!U18*IncreasePerc2027</f>
        <v>41.22524282388153</v>
      </c>
      <c r="V18" s="276">
        <f ca="1">'January 1, 2026'!V18*IncreasePerc2027</f>
        <v>42.860060712831491</v>
      </c>
      <c r="W18" s="276">
        <f ca="1">'January 1, 2026'!W18*IncreasePerc2027</f>
        <v>45.48279002547207</v>
      </c>
      <c r="X18" s="276"/>
      <c r="Y18" s="276"/>
      <c r="Z18" s="276"/>
      <c r="AA18" s="279">
        <f ca="1">U18/'January 1, 2026'!U18</f>
        <v>1.03</v>
      </c>
      <c r="AB18" s="279">
        <f ca="1">V18/'January 1, 2026'!V18</f>
        <v>1.03</v>
      </c>
      <c r="AC18" s="279">
        <f ca="1">W18/'January 1, 2026'!W18</f>
        <v>1.03</v>
      </c>
      <c r="AD18" s="279"/>
      <c r="AE18" s="279"/>
      <c r="AF18" s="279"/>
      <c r="AK18" s="165" t="str">
        <f t="shared" si="6"/>
        <v>04400C</v>
      </c>
      <c r="AL18" s="165" t="str">
        <f t="shared" si="1"/>
        <v>CFF 3</v>
      </c>
      <c r="AM18" s="165" t="str">
        <f t="shared" si="7"/>
        <v>Fire Investigator</v>
      </c>
      <c r="AN18" s="206">
        <f t="shared" ca="1" si="8"/>
        <v>41.225000000000001</v>
      </c>
      <c r="AO18" s="206">
        <f t="shared" ca="1" si="4"/>
        <v>42.86</v>
      </c>
      <c r="AP18" s="206">
        <f t="shared" ca="1" si="4"/>
        <v>45.482999999999997</v>
      </c>
      <c r="AQ18" s="165"/>
      <c r="AR18" s="165"/>
      <c r="AS18" s="165"/>
    </row>
    <row r="19" spans="1:45" ht="18.75" customHeight="1">
      <c r="A19" s="180" t="s">
        <v>35</v>
      </c>
      <c r="B19" s="63" t="s">
        <v>115</v>
      </c>
      <c r="C19" s="173" t="str">
        <f t="shared" si="2"/>
        <v>CFG 3</v>
      </c>
      <c r="D19" s="59" t="s">
        <v>36</v>
      </c>
      <c r="E19" s="59"/>
      <c r="F19" s="251" t="s">
        <v>17</v>
      </c>
      <c r="G19" s="253">
        <f t="shared" ca="1" si="5"/>
        <v>4501.7669291729408</v>
      </c>
      <c r="H19" s="188">
        <f t="shared" ca="1" si="3"/>
        <v>4680.2930544693163</v>
      </c>
      <c r="I19" s="188">
        <f t="shared" ca="1" si="3"/>
        <v>4966.7372195515918</v>
      </c>
      <c r="J19" s="188"/>
      <c r="K19" s="188"/>
      <c r="L19" s="189"/>
      <c r="M19" s="47"/>
      <c r="N19" s="42"/>
      <c r="O19" s="217">
        <v>80</v>
      </c>
      <c r="P19" s="219" t="s">
        <v>143</v>
      </c>
      <c r="Q19" s="219" t="s">
        <v>153</v>
      </c>
      <c r="R19" s="219" t="s">
        <v>287</v>
      </c>
      <c r="S19" s="219" t="str">
        <f t="shared" si="0"/>
        <v>04401C</v>
      </c>
      <c r="T19" s="217" t="s">
        <v>36</v>
      </c>
      <c r="U19" s="276">
        <f ca="1">'January 1, 2026'!U19*IncreasePerc2027</f>
        <v>56.27208661466176</v>
      </c>
      <c r="V19" s="276">
        <f ca="1">'January 1, 2026'!V19*IncreasePerc2027</f>
        <v>58.503663180866454</v>
      </c>
      <c r="W19" s="276">
        <f ca="1">'January 1, 2026'!W19*IncreasePerc2027</f>
        <v>62.084215244394898</v>
      </c>
      <c r="X19" s="276"/>
      <c r="Y19" s="276"/>
      <c r="Z19" s="276"/>
      <c r="AA19" s="279">
        <f ca="1">U19/'January 1, 2026'!U19</f>
        <v>1.03</v>
      </c>
      <c r="AB19" s="279">
        <f ca="1">V19/'January 1, 2026'!V19</f>
        <v>1.03</v>
      </c>
      <c r="AC19" s="279">
        <f ca="1">W19/'January 1, 2026'!W19</f>
        <v>1.03</v>
      </c>
      <c r="AD19" s="279"/>
      <c r="AE19" s="279"/>
      <c r="AF19" s="279"/>
      <c r="AK19" s="165" t="str">
        <f t="shared" si="6"/>
        <v>04401C</v>
      </c>
      <c r="AL19" s="165" t="str">
        <f t="shared" si="1"/>
        <v>CFG 3</v>
      </c>
      <c r="AM19" s="165" t="str">
        <f t="shared" si="7"/>
        <v>Fire Investigator (40 hrs.)</v>
      </c>
      <c r="AN19" s="206">
        <f t="shared" ca="1" si="8"/>
        <v>56.271999999999998</v>
      </c>
      <c r="AO19" s="206">
        <f t="shared" ca="1" si="4"/>
        <v>58.503999999999998</v>
      </c>
      <c r="AP19" s="206">
        <f t="shared" ca="1" si="4"/>
        <v>62.084000000000003</v>
      </c>
      <c r="AQ19" s="165"/>
      <c r="AR19" s="165"/>
      <c r="AS19" s="165"/>
    </row>
    <row r="20" spans="1:45" ht="18.75" customHeight="1">
      <c r="A20" s="180" t="s">
        <v>37</v>
      </c>
      <c r="B20" s="63" t="s">
        <v>115</v>
      </c>
      <c r="C20" s="173" t="str">
        <f t="shared" si="2"/>
        <v>CFF 3</v>
      </c>
      <c r="D20" s="59" t="s">
        <v>38</v>
      </c>
      <c r="E20" s="59"/>
      <c r="F20" s="251" t="s">
        <v>17</v>
      </c>
      <c r="G20" s="253">
        <f t="shared" ca="1" si="5"/>
        <v>4501.7965163678628</v>
      </c>
      <c r="H20" s="188">
        <f t="shared" ca="1" si="3"/>
        <v>4680.3186298411993</v>
      </c>
      <c r="I20" s="188">
        <f t="shared" ca="1" si="3"/>
        <v>4966.7206707815503</v>
      </c>
      <c r="J20" s="188"/>
      <c r="K20" s="188"/>
      <c r="L20" s="189"/>
      <c r="M20" s="47"/>
      <c r="N20" s="42"/>
      <c r="O20" s="217">
        <v>109.2</v>
      </c>
      <c r="P20" s="219" t="s">
        <v>144</v>
      </c>
      <c r="Q20" s="219" t="s">
        <v>152</v>
      </c>
      <c r="R20" s="219" t="s">
        <v>287</v>
      </c>
      <c r="S20" s="219" t="str">
        <f t="shared" si="0"/>
        <v>04390C</v>
      </c>
      <c r="T20" s="217" t="s">
        <v>38</v>
      </c>
      <c r="U20" s="276">
        <f ca="1">'January 1, 2026'!U20*IncreasePerc2027</f>
        <v>41.22524282388153</v>
      </c>
      <c r="V20" s="276">
        <f ca="1">'January 1, 2026'!V20*IncreasePerc2027</f>
        <v>42.860060712831491</v>
      </c>
      <c r="W20" s="276">
        <f ca="1">'January 1, 2026'!W20*IncreasePerc2027</f>
        <v>45.48279002547207</v>
      </c>
      <c r="X20" s="276"/>
      <c r="Y20" s="276"/>
      <c r="Z20" s="276"/>
      <c r="AA20" s="279">
        <f ca="1">U20/'January 1, 2026'!U20</f>
        <v>1.03</v>
      </c>
      <c r="AB20" s="279">
        <f ca="1">V20/'January 1, 2026'!V20</f>
        <v>1.03</v>
      </c>
      <c r="AC20" s="279">
        <f ca="1">W20/'January 1, 2026'!W20</f>
        <v>1.03</v>
      </c>
      <c r="AD20" s="279"/>
      <c r="AE20" s="279"/>
      <c r="AF20" s="279"/>
      <c r="AK20" s="165" t="str">
        <f t="shared" si="6"/>
        <v>04390C</v>
      </c>
      <c r="AL20" s="165" t="str">
        <f t="shared" si="1"/>
        <v>CFF 3</v>
      </c>
      <c r="AM20" s="165" t="str">
        <f t="shared" si="7"/>
        <v>Fire Inspector 3</v>
      </c>
      <c r="AN20" s="206">
        <f t="shared" ca="1" si="8"/>
        <v>41.225000000000001</v>
      </c>
      <c r="AO20" s="206">
        <f t="shared" ca="1" si="4"/>
        <v>42.86</v>
      </c>
      <c r="AP20" s="206">
        <f t="shared" ca="1" si="4"/>
        <v>45.482999999999997</v>
      </c>
      <c r="AQ20" s="165"/>
      <c r="AR20" s="165"/>
      <c r="AS20" s="165"/>
    </row>
    <row r="21" spans="1:45" ht="18.75" customHeight="1">
      <c r="A21" s="180" t="s">
        <v>41</v>
      </c>
      <c r="B21" s="63" t="s">
        <v>115</v>
      </c>
      <c r="C21" s="173" t="str">
        <f t="shared" si="2"/>
        <v>CFF 4</v>
      </c>
      <c r="D21" s="65" t="s">
        <v>113</v>
      </c>
      <c r="E21" s="59"/>
      <c r="F21" s="251" t="s">
        <v>17</v>
      </c>
      <c r="G21" s="253">
        <f t="shared" ca="1" si="5"/>
        <v>4607.4859884548387</v>
      </c>
      <c r="H21" s="188">
        <f t="shared" ca="1" si="3"/>
        <v>4685.5209613687957</v>
      </c>
      <c r="I21" s="188">
        <f t="shared" ca="1" si="3"/>
        <v>4765.1987758177847</v>
      </c>
      <c r="J21" s="188">
        <f t="shared" ca="1" si="3"/>
        <v>4844.8765902667728</v>
      </c>
      <c r="K21" s="188">
        <f t="shared" ca="1" si="3"/>
        <v>5140.4511631110454</v>
      </c>
      <c r="L21" s="189"/>
      <c r="M21" s="47"/>
      <c r="N21" s="42"/>
      <c r="O21" s="217">
        <v>109.2</v>
      </c>
      <c r="P21" s="219" t="s">
        <v>144</v>
      </c>
      <c r="Q21" s="219" t="s">
        <v>154</v>
      </c>
      <c r="R21" s="219" t="s">
        <v>287</v>
      </c>
      <c r="S21" s="219" t="str">
        <f t="shared" si="0"/>
        <v>04436C</v>
      </c>
      <c r="T21" s="221" t="s">
        <v>113</v>
      </c>
      <c r="U21" s="276">
        <f ca="1">'January 1, 2026'!U21*IncreasePerc2027</f>
        <v>42.193095132370317</v>
      </c>
      <c r="V21" s="276">
        <f ca="1">'January 1, 2026'!V21*IncreasePerc2027</f>
        <v>42.907701111435856</v>
      </c>
      <c r="W21" s="276">
        <f ca="1">'January 1, 2026'!W21*IncreasePerc2027</f>
        <v>43.637351426902789</v>
      </c>
      <c r="X21" s="276">
        <f ca="1">'January 1, 2026'!X21*IncreasePerc2027</f>
        <v>44.367001742369716</v>
      </c>
      <c r="Y21" s="276">
        <f ca="1">'January 1, 2026'!Y21*IncreasePerc2027</f>
        <v>47.073728599917999</v>
      </c>
      <c r="Z21" s="276">
        <f>'January 1, 2026'!Z21*IncreasePerc2027</f>
        <v>0</v>
      </c>
      <c r="AA21" s="279">
        <f ca="1">U21/'January 1, 2026'!U21</f>
        <v>1.03</v>
      </c>
      <c r="AB21" s="279">
        <f ca="1">V21/'January 1, 2026'!V21</f>
        <v>1.03</v>
      </c>
      <c r="AC21" s="279">
        <f ca="1">W21/'January 1, 2026'!W21</f>
        <v>1.03</v>
      </c>
      <c r="AD21" s="279">
        <f ca="1">X21/'January 1, 2026'!X21</f>
        <v>1.03</v>
      </c>
      <c r="AE21" s="279">
        <f ca="1">Y21/'January 1, 2026'!Y21</f>
        <v>1.03</v>
      </c>
      <c r="AF21" s="279"/>
      <c r="AK21" s="165" t="str">
        <f t="shared" si="6"/>
        <v>04436C</v>
      </c>
      <c r="AL21" s="165" t="str">
        <f t="shared" si="1"/>
        <v>CFF 4</v>
      </c>
      <c r="AM21" s="165" t="str">
        <f t="shared" si="7"/>
        <v xml:space="preserve">Fire Staff Captain </v>
      </c>
      <c r="AN21" s="206">
        <f t="shared" ca="1" si="8"/>
        <v>42.192999999999998</v>
      </c>
      <c r="AO21" s="206">
        <f t="shared" ca="1" si="4"/>
        <v>42.908000000000001</v>
      </c>
      <c r="AP21" s="206">
        <f t="shared" ca="1" si="4"/>
        <v>43.637</v>
      </c>
      <c r="AQ21" s="206">
        <f t="shared" ca="1" si="4"/>
        <v>44.366999999999997</v>
      </c>
      <c r="AR21" s="206">
        <f t="shared" ca="1" si="4"/>
        <v>47.073999999999998</v>
      </c>
      <c r="AS21" s="165"/>
    </row>
    <row r="22" spans="1:45" ht="18.75" customHeight="1" thickBot="1">
      <c r="A22" s="181" t="s">
        <v>39</v>
      </c>
      <c r="B22" s="182" t="s">
        <v>115</v>
      </c>
      <c r="C22" s="182" t="str">
        <f t="shared" si="2"/>
        <v>CFG 4</v>
      </c>
      <c r="D22" s="183" t="s">
        <v>42</v>
      </c>
      <c r="E22" s="184"/>
      <c r="F22" s="252" t="s">
        <v>17</v>
      </c>
      <c r="G22" s="254">
        <f t="shared" ca="1" si="5"/>
        <v>4607.4784662866377</v>
      </c>
      <c r="H22" s="190">
        <f t="shared" ca="1" si="3"/>
        <v>4685.5084244217951</v>
      </c>
      <c r="I22" s="190">
        <f t="shared" ca="1" si="3"/>
        <v>4765.2434073491086</v>
      </c>
      <c r="J22" s="190">
        <f t="shared" ca="1" si="3"/>
        <v>4844.8780947004125</v>
      </c>
      <c r="K22" s="190">
        <f t="shared" ca="1" si="3"/>
        <v>5140.4491571995259</v>
      </c>
      <c r="L22" s="191"/>
      <c r="M22" s="47"/>
      <c r="N22" s="42"/>
      <c r="O22" s="217">
        <v>80</v>
      </c>
      <c r="P22" s="219" t="s">
        <v>143</v>
      </c>
      <c r="Q22" s="219" t="s">
        <v>155</v>
      </c>
      <c r="R22" s="219" t="s">
        <v>287</v>
      </c>
      <c r="S22" s="219" t="str">
        <f t="shared" si="0"/>
        <v>04435C</v>
      </c>
      <c r="T22" s="217" t="s">
        <v>42</v>
      </c>
      <c r="U22" s="276">
        <f ca="1">'January 1, 2026'!U22*IncreasePerc2027</f>
        <v>57.593480828582969</v>
      </c>
      <c r="V22" s="276">
        <f ca="1">'January 1, 2026'!V22*IncreasePerc2027</f>
        <v>58.568855305272436</v>
      </c>
      <c r="W22" s="276">
        <f ca="1">'January 1, 2026'!W22*IncreasePerc2027</f>
        <v>59.565542591863853</v>
      </c>
      <c r="X22" s="276">
        <f ca="1">'January 1, 2026'!X22*IncreasePerc2027</f>
        <v>60.560976183755159</v>
      </c>
      <c r="Y22" s="276">
        <f ca="1">'January 1, 2026'!Y22*IncreasePerc2027</f>
        <v>64.255614464994068</v>
      </c>
      <c r="Z22" s="276">
        <f>'January 1, 2026'!Z22*IncreasePerc2027</f>
        <v>0</v>
      </c>
      <c r="AA22" s="279">
        <f ca="1">U22/'January 1, 2026'!U22</f>
        <v>1.03</v>
      </c>
      <c r="AB22" s="279">
        <f ca="1">V22/'January 1, 2026'!V22</f>
        <v>1.03</v>
      </c>
      <c r="AC22" s="279">
        <f ca="1">W22/'January 1, 2026'!W22</f>
        <v>1.03</v>
      </c>
      <c r="AD22" s="279">
        <f ca="1">X22/'January 1, 2026'!X22</f>
        <v>1.03</v>
      </c>
      <c r="AE22" s="279">
        <f ca="1">Y22/'January 1, 2026'!Y22</f>
        <v>1.03</v>
      </c>
      <c r="AF22" s="279"/>
      <c r="AK22" s="165" t="str">
        <f t="shared" si="6"/>
        <v>04435C</v>
      </c>
      <c r="AL22" s="165" t="str">
        <f t="shared" si="1"/>
        <v>CFG 4</v>
      </c>
      <c r="AM22" s="165" t="str">
        <f t="shared" si="7"/>
        <v>Fire Staff Captain (40 hrs.)</v>
      </c>
      <c r="AN22" s="206">
        <f t="shared" ca="1" si="8"/>
        <v>57.593000000000004</v>
      </c>
      <c r="AO22" s="206">
        <f t="shared" ca="1" si="4"/>
        <v>58.569000000000003</v>
      </c>
      <c r="AP22" s="206">
        <f t="shared" ca="1" si="4"/>
        <v>59.566000000000003</v>
      </c>
      <c r="AQ22" s="206">
        <f t="shared" ca="1" si="4"/>
        <v>60.561</v>
      </c>
      <c r="AR22" s="206">
        <f t="shared" ca="1" si="4"/>
        <v>64.256</v>
      </c>
      <c r="AS22" s="165"/>
    </row>
    <row r="23" spans="1:45" ht="18.75" customHeight="1">
      <c r="A23"/>
      <c r="B23"/>
      <c r="C23"/>
      <c r="D23"/>
      <c r="E23"/>
      <c r="F23"/>
      <c r="G23"/>
      <c r="H23"/>
      <c r="I23"/>
      <c r="J23"/>
      <c r="K23"/>
      <c r="L23"/>
      <c r="M23" s="47"/>
      <c r="N23" s="42"/>
      <c r="O23" s="217">
        <v>109.2</v>
      </c>
      <c r="P23" s="219" t="s">
        <v>284</v>
      </c>
      <c r="Q23" s="219" t="s">
        <v>235</v>
      </c>
      <c r="R23" s="219" t="s">
        <v>287</v>
      </c>
      <c r="S23" s="219" t="s">
        <v>280</v>
      </c>
      <c r="T23" s="217" t="s">
        <v>298</v>
      </c>
      <c r="U23" s="276">
        <f ca="1">'January 1, 2026'!U23*IncreasePerc2027</f>
        <v>29.338963372091225</v>
      </c>
      <c r="V23" s="276">
        <f ca="1">'January 1, 2026'!V23*IncreasePerc2027</f>
        <v>30.51242161139886</v>
      </c>
      <c r="W23" s="276">
        <f ca="1">'January 1, 2026'!W23*IncreasePerc2027</f>
        <v>31.733520249310871</v>
      </c>
      <c r="X23" s="276">
        <f ca="1">'January 1, 2026'!X23*IncreasePerc2027</f>
        <v>33.00225928582725</v>
      </c>
      <c r="Y23" s="276">
        <f ca="1">'January 1, 2026'!Y23*IncreasePerc2027</f>
        <v>34.322399805048342</v>
      </c>
      <c r="Z23" s="276">
        <f ca="1">'January 1, 2026'!Z23*IncreasePerc2027</f>
        <v>35.69519550167427</v>
      </c>
      <c r="AA23" s="279">
        <f ca="1">U23/'January 1, 2026'!U23</f>
        <v>1.03</v>
      </c>
      <c r="AB23" s="279">
        <f ca="1">V23/'January 1, 2026'!V23</f>
        <v>1.03</v>
      </c>
      <c r="AC23" s="279">
        <f ca="1">W23/'January 1, 2026'!W23</f>
        <v>1.03</v>
      </c>
      <c r="AD23" s="279">
        <f ca="1">X23/'January 1, 2026'!X23</f>
        <v>1.03</v>
      </c>
      <c r="AE23" s="279">
        <f ca="1">Y23/'January 1, 2026'!Y23</f>
        <v>1.03</v>
      </c>
      <c r="AF23" s="279">
        <f ca="1">Z23/'January 1, 2026'!Z23</f>
        <v>1.03</v>
      </c>
      <c r="AK23" s="165" t="str">
        <f t="shared" si="6"/>
        <v>04452C</v>
      </c>
      <c r="AL23" s="165" t="str">
        <f>Q23</f>
        <v>CFH 1</v>
      </c>
      <c r="AM23" s="165" t="str">
        <f t="shared" si="7"/>
        <v>Firerighter Bell Curve-C*</v>
      </c>
      <c r="AN23" s="206">
        <f t="shared" ca="1" si="8"/>
        <v>29.338999999999999</v>
      </c>
      <c r="AO23" s="206">
        <f t="shared" ca="1" si="4"/>
        <v>30.512</v>
      </c>
      <c r="AP23" s="206">
        <f t="shared" ca="1" si="4"/>
        <v>31.734000000000002</v>
      </c>
      <c r="AQ23" s="206">
        <f t="shared" ca="1" si="4"/>
        <v>33.002000000000002</v>
      </c>
      <c r="AR23" s="206">
        <f t="shared" ca="1" si="4"/>
        <v>34.322000000000003</v>
      </c>
      <c r="AS23" s="206">
        <f t="shared" ca="1" si="4"/>
        <v>35.695</v>
      </c>
    </row>
    <row r="24" spans="1:45" ht="27.75" customHeight="1">
      <c r="A24" s="41" t="s">
        <v>303</v>
      </c>
      <c r="C24" s="46"/>
      <c r="G24" s="46"/>
      <c r="H24" s="46"/>
      <c r="I24" s="46"/>
      <c r="J24" s="46"/>
      <c r="K24" s="46"/>
      <c r="L24" s="46"/>
      <c r="M24" s="46"/>
      <c r="T24" s="211" t="s">
        <v>299</v>
      </c>
      <c r="AM24" s="205" t="s">
        <v>299</v>
      </c>
    </row>
    <row r="25" spans="1:45" ht="17.25" customHeight="1">
      <c r="A25" s="50" t="s">
        <v>50</v>
      </c>
      <c r="C25" s="46"/>
      <c r="G25" s="46"/>
      <c r="H25" s="46"/>
      <c r="I25" s="46"/>
      <c r="J25" s="46"/>
      <c r="K25" s="46"/>
      <c r="L25" s="46"/>
      <c r="M25" s="46"/>
    </row>
    <row r="26" spans="1:45" ht="17.25" customHeight="1">
      <c r="A26" s="42" t="s">
        <v>51</v>
      </c>
      <c r="C26" s="46"/>
      <c r="G26" s="46"/>
      <c r="H26" s="46"/>
      <c r="I26" s="46"/>
      <c r="J26" s="46"/>
      <c r="K26" s="46"/>
      <c r="L26" s="46"/>
      <c r="M26" s="46"/>
    </row>
    <row r="27" spans="1:45" ht="17.25" customHeight="1">
      <c r="A27" s="50" t="s">
        <v>52</v>
      </c>
      <c r="B27" s="46"/>
      <c r="C27" s="46"/>
    </row>
    <row r="28" spans="1:45" ht="17.25" customHeight="1">
      <c r="A28" s="50"/>
      <c r="B28" s="46"/>
      <c r="C28" s="46"/>
      <c r="P28" s="210"/>
      <c r="Q28" s="210"/>
      <c r="R28" s="210"/>
      <c r="S28" s="222"/>
      <c r="U28" s="286" t="s">
        <v>278</v>
      </c>
      <c r="V28" s="287"/>
      <c r="W28" s="210"/>
    </row>
    <row r="29" spans="1:45" ht="27.75" customHeight="1">
      <c r="A29" s="41" t="s">
        <v>136</v>
      </c>
      <c r="B29" s="42" t="s">
        <v>160</v>
      </c>
      <c r="P29" s="210"/>
      <c r="Q29" s="210"/>
      <c r="R29" s="268" t="s">
        <v>286</v>
      </c>
      <c r="S29" s="269" t="s">
        <v>297</v>
      </c>
      <c r="T29" s="264"/>
      <c r="U29" s="216" t="s">
        <v>230</v>
      </c>
      <c r="V29" s="216" t="s">
        <v>231</v>
      </c>
      <c r="W29" s="210"/>
      <c r="AK29" s="207" t="str">
        <f t="shared" ref="AK29:AK48" si="9">S29</f>
        <v>Description</v>
      </c>
      <c r="AL29" s="165"/>
      <c r="AM29" s="165"/>
      <c r="AN29" s="208" t="str">
        <f>U29</f>
        <v>CFF/109.2</v>
      </c>
      <c r="AO29" s="208" t="str">
        <f>V29</f>
        <v>CFG/80</v>
      </c>
    </row>
    <row r="30" spans="1:45" ht="17.25" customHeight="1">
      <c r="A30" s="56">
        <f t="shared" ref="A30:A48" ca="1" si="10">T30</f>
        <v>21.69518183310425</v>
      </c>
      <c r="B30" s="52" t="s">
        <v>161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40"/>
      <c r="P30" s="210"/>
      <c r="Q30" s="210"/>
      <c r="R30" s="219" t="s">
        <v>287</v>
      </c>
      <c r="S30" s="227" t="str">
        <f t="shared" ref="S30:S48" si="11">"Non FF "&amp;B30</f>
        <v>Non FF  7th year of service</v>
      </c>
      <c r="T30" s="265">
        <f ca="1">'January 1, 2026'!T30*'January 1, 2027'!IncrPerc2025</f>
        <v>21.69518183310425</v>
      </c>
      <c r="U30" s="220">
        <f ca="1">T30/109.2</f>
        <v>0.19867382631047847</v>
      </c>
      <c r="V30" s="220">
        <f ca="1">T30/80</f>
        <v>0.27118977291380314</v>
      </c>
      <c r="W30" s="224"/>
      <c r="AA30" s="279">
        <f ca="1">T30/'January 1, 2026'!T30</f>
        <v>1.03</v>
      </c>
      <c r="AB30" s="279">
        <f ca="1">U30/'January 1, 2026'!U30</f>
        <v>1.03</v>
      </c>
      <c r="AC30" s="279">
        <f ca="1">V30/'January 1, 2026'!V30</f>
        <v>1.0300000000000002</v>
      </c>
      <c r="AD30" s="281"/>
      <c r="AE30" s="281"/>
      <c r="AF30" s="281"/>
      <c r="AK30" s="165" t="str">
        <f t="shared" si="9"/>
        <v>Non FF  7th year of service</v>
      </c>
      <c r="AL30" s="165"/>
      <c r="AM30" s="165"/>
      <c r="AN30" s="206">
        <f t="shared" ref="AN30:AO45" ca="1" si="12">ROUND(U30,3)</f>
        <v>0.19900000000000001</v>
      </c>
      <c r="AO30" s="206">
        <f t="shared" ca="1" si="12"/>
        <v>0.27100000000000002</v>
      </c>
    </row>
    <row r="31" spans="1:45" ht="17.25" customHeight="1">
      <c r="A31" s="56">
        <f t="shared" ca="1" si="10"/>
        <v>30.770290573749083</v>
      </c>
      <c r="B31" s="52" t="s">
        <v>162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40"/>
      <c r="P31" s="210"/>
      <c r="Q31" s="210"/>
      <c r="R31" s="219" t="s">
        <v>287</v>
      </c>
      <c r="S31" s="227" t="str">
        <f t="shared" si="11"/>
        <v>Non FF  8th year of service</v>
      </c>
      <c r="T31" s="265">
        <f ca="1">'January 1, 2026'!T31*'January 1, 2027'!IncrPerc2025</f>
        <v>30.770290573749083</v>
      </c>
      <c r="U31" s="220">
        <f t="shared" ref="U31:U48" ca="1" si="13">T31/109.2</f>
        <v>0.28177921770832492</v>
      </c>
      <c r="V31" s="220">
        <f t="shared" ref="V31:V48" ca="1" si="14">T31/80</f>
        <v>0.38462863217186355</v>
      </c>
      <c r="W31" s="224"/>
      <c r="Y31" s="225"/>
      <c r="AA31" s="279">
        <f ca="1">T31/'January 1, 2026'!T31</f>
        <v>1.03</v>
      </c>
      <c r="AB31" s="279">
        <f ca="1">U31/'January 1, 2026'!U31</f>
        <v>1.0299999999999998</v>
      </c>
      <c r="AC31" s="279">
        <f ca="1">V31/'January 1, 2026'!V31</f>
        <v>1.03</v>
      </c>
      <c r="AD31" s="281"/>
      <c r="AE31" s="281"/>
      <c r="AF31" s="281"/>
      <c r="AK31" s="165" t="str">
        <f t="shared" si="9"/>
        <v>Non FF  8th year of service</v>
      </c>
      <c r="AL31" s="165"/>
      <c r="AM31" s="165"/>
      <c r="AN31" s="206">
        <f t="shared" ca="1" si="12"/>
        <v>0.28199999999999997</v>
      </c>
      <c r="AO31" s="206">
        <f t="shared" ca="1" si="12"/>
        <v>0.38500000000000001</v>
      </c>
    </row>
    <row r="32" spans="1:45" ht="17.25" customHeight="1">
      <c r="A32" s="56">
        <f t="shared" ca="1" si="10"/>
        <v>39.845399314394037</v>
      </c>
      <c r="B32" s="52" t="s">
        <v>163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40"/>
      <c r="P32" s="210"/>
      <c r="Q32" s="210"/>
      <c r="R32" s="219" t="s">
        <v>287</v>
      </c>
      <c r="S32" s="227" t="str">
        <f t="shared" si="11"/>
        <v>Non FF  9th year of service</v>
      </c>
      <c r="T32" s="265">
        <f ca="1">'January 1, 2026'!T32*'January 1, 2027'!IncrPerc2025</f>
        <v>39.845399314394037</v>
      </c>
      <c r="U32" s="220">
        <f t="shared" ca="1" si="13"/>
        <v>0.36488460910617249</v>
      </c>
      <c r="V32" s="220">
        <f t="shared" ca="1" si="14"/>
        <v>0.49806749142992546</v>
      </c>
      <c r="W32" s="224"/>
      <c r="Y32" s="225"/>
      <c r="AA32" s="279">
        <f ca="1">T32/'January 1, 2026'!T32</f>
        <v>1.03</v>
      </c>
      <c r="AB32" s="279">
        <f ca="1">U32/'January 1, 2026'!U32</f>
        <v>1.03</v>
      </c>
      <c r="AC32" s="279">
        <f ca="1">V32/'January 1, 2026'!V32</f>
        <v>1.03</v>
      </c>
      <c r="AK32" s="165" t="str">
        <f t="shared" si="9"/>
        <v>Non FF  9th year of service</v>
      </c>
      <c r="AL32" s="165"/>
      <c r="AM32" s="165"/>
      <c r="AN32" s="206">
        <f t="shared" ca="1" si="12"/>
        <v>0.36499999999999999</v>
      </c>
      <c r="AO32" s="206">
        <f t="shared" ca="1" si="12"/>
        <v>0.498</v>
      </c>
    </row>
    <row r="33" spans="1:41" ht="17.25" customHeight="1">
      <c r="A33" s="56">
        <f t="shared" ca="1" si="10"/>
        <v>48.920508055039001</v>
      </c>
      <c r="B33" s="52" t="s">
        <v>164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40"/>
      <c r="P33" s="210"/>
      <c r="Q33" s="210"/>
      <c r="R33" s="219" t="s">
        <v>287</v>
      </c>
      <c r="S33" s="227" t="str">
        <f t="shared" si="11"/>
        <v>Non FF  10th year of service</v>
      </c>
      <c r="T33" s="265">
        <f ca="1">'January 1, 2026'!T33*'January 1, 2027'!IncrPerc2025</f>
        <v>48.920508055039001</v>
      </c>
      <c r="U33" s="220">
        <f t="shared" ca="1" si="13"/>
        <v>0.44799000050402016</v>
      </c>
      <c r="V33" s="220">
        <f t="shared" ca="1" si="14"/>
        <v>0.61150635068798753</v>
      </c>
      <c r="W33" s="224"/>
      <c r="Y33" s="225"/>
      <c r="AA33" s="279">
        <f ca="1">T33/'January 1, 2026'!T33</f>
        <v>1.03</v>
      </c>
      <c r="AB33" s="279">
        <f ca="1">U33/'January 1, 2026'!U33</f>
        <v>1.03</v>
      </c>
      <c r="AC33" s="279">
        <f ca="1">V33/'January 1, 2026'!V33</f>
        <v>1.03</v>
      </c>
      <c r="AK33" s="165" t="str">
        <f t="shared" si="9"/>
        <v>Non FF  10th year of service</v>
      </c>
      <c r="AL33" s="165"/>
      <c r="AM33" s="165"/>
      <c r="AN33" s="206">
        <f t="shared" ca="1" si="12"/>
        <v>0.44800000000000001</v>
      </c>
      <c r="AO33" s="206">
        <f t="shared" ca="1" si="12"/>
        <v>0.61199999999999999</v>
      </c>
    </row>
    <row r="34" spans="1:41" ht="17.25" customHeight="1">
      <c r="A34" s="56">
        <f t="shared" ca="1" si="10"/>
        <v>57.995616795683844</v>
      </c>
      <c r="B34" s="52" t="s">
        <v>165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40"/>
      <c r="P34" s="210"/>
      <c r="Q34" s="210"/>
      <c r="R34" s="219" t="s">
        <v>287</v>
      </c>
      <c r="S34" s="227" t="str">
        <f t="shared" si="11"/>
        <v>Non FF  11th year of service</v>
      </c>
      <c r="T34" s="265">
        <f ca="1">'January 1, 2026'!T34*'January 1, 2027'!IncrPerc2025</f>
        <v>57.995616795683844</v>
      </c>
      <c r="U34" s="220">
        <f t="shared" ca="1" si="13"/>
        <v>0.53109539190186672</v>
      </c>
      <c r="V34" s="220">
        <f t="shared" ca="1" si="14"/>
        <v>0.72494520994604805</v>
      </c>
      <c r="W34" s="224"/>
      <c r="Y34" s="225"/>
      <c r="AA34" s="279">
        <f ca="1">T34/'January 1, 2026'!T34</f>
        <v>1.03</v>
      </c>
      <c r="AB34" s="279">
        <f ca="1">U34/'January 1, 2026'!U34</f>
        <v>1.03</v>
      </c>
      <c r="AC34" s="279">
        <f ca="1">V34/'January 1, 2026'!V34</f>
        <v>1.03</v>
      </c>
      <c r="AK34" s="165" t="str">
        <f t="shared" si="9"/>
        <v>Non FF  11th year of service</v>
      </c>
      <c r="AL34" s="165"/>
      <c r="AM34" s="165"/>
      <c r="AN34" s="206">
        <f t="shared" ca="1" si="12"/>
        <v>0.53100000000000003</v>
      </c>
      <c r="AO34" s="206">
        <f t="shared" ca="1" si="12"/>
        <v>0.72499999999999998</v>
      </c>
    </row>
    <row r="35" spans="1:41" ht="17.25" customHeight="1">
      <c r="A35" s="56">
        <f t="shared" ca="1" si="10"/>
        <v>175.28076237546429</v>
      </c>
      <c r="B35" s="52" t="s">
        <v>166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40"/>
      <c r="P35" s="210"/>
      <c r="Q35" s="210"/>
      <c r="R35" s="219" t="s">
        <v>287</v>
      </c>
      <c r="S35" s="227" t="str">
        <f t="shared" si="11"/>
        <v>Non FF  12th year of service</v>
      </c>
      <c r="T35" s="265">
        <f ca="1">'January 1, 2026'!T35*'January 1, 2027'!IncrPerc2025</f>
        <v>175.28076237546429</v>
      </c>
      <c r="U35" s="220">
        <f t="shared" ca="1" si="13"/>
        <v>1.6051351865885009</v>
      </c>
      <c r="V35" s="220">
        <f t="shared" ca="1" si="14"/>
        <v>2.1910095296933036</v>
      </c>
      <c r="W35" s="224"/>
      <c r="Y35" s="225"/>
      <c r="AA35" s="279">
        <f ca="1">T35/'January 1, 2026'!T35</f>
        <v>1.03</v>
      </c>
      <c r="AB35" s="279">
        <f ca="1">U35/'January 1, 2026'!U35</f>
        <v>1.0300000000000002</v>
      </c>
      <c r="AC35" s="279">
        <f ca="1">V35/'January 1, 2026'!V35</f>
        <v>1.03</v>
      </c>
      <c r="AK35" s="165" t="str">
        <f t="shared" si="9"/>
        <v>Non FF  12th year of service</v>
      </c>
      <c r="AL35" s="165"/>
      <c r="AM35" s="165"/>
      <c r="AN35" s="206">
        <f t="shared" ca="1" si="12"/>
        <v>1.605</v>
      </c>
      <c r="AO35" s="206">
        <f t="shared" ca="1" si="12"/>
        <v>2.1909999999999998</v>
      </c>
    </row>
    <row r="36" spans="1:41" ht="17.25" customHeight="1">
      <c r="A36" s="56">
        <f t="shared" ca="1" si="10"/>
        <v>185.13576327350819</v>
      </c>
      <c r="B36" s="52" t="s">
        <v>167</v>
      </c>
      <c r="P36" s="210"/>
      <c r="Q36" s="210"/>
      <c r="R36" s="219" t="s">
        <v>287</v>
      </c>
      <c r="S36" s="227" t="str">
        <f t="shared" si="11"/>
        <v>Non FF  13th year of service</v>
      </c>
      <c r="T36" s="265">
        <f ca="1">'January 1, 2026'!T36*'January 1, 2027'!IncrPerc2025</f>
        <v>185.13576327350819</v>
      </c>
      <c r="U36" s="220">
        <f t="shared" ca="1" si="13"/>
        <v>1.6953824475595987</v>
      </c>
      <c r="V36" s="220">
        <f t="shared" ca="1" si="14"/>
        <v>2.3141970409188524</v>
      </c>
      <c r="W36" s="224"/>
      <c r="Y36" s="225"/>
      <c r="AA36" s="279">
        <f ca="1">T36/'January 1, 2026'!T36</f>
        <v>1.03</v>
      </c>
      <c r="AB36" s="279">
        <f ca="1">U36/'January 1, 2026'!U36</f>
        <v>1.03</v>
      </c>
      <c r="AC36" s="279">
        <f ca="1">V36/'January 1, 2026'!V36</f>
        <v>1.03</v>
      </c>
      <c r="AK36" s="165" t="str">
        <f t="shared" si="9"/>
        <v>Non FF  13th year of service</v>
      </c>
      <c r="AL36" s="165"/>
      <c r="AM36" s="165"/>
      <c r="AN36" s="206">
        <f t="shared" ca="1" si="12"/>
        <v>1.6950000000000001</v>
      </c>
      <c r="AO36" s="206">
        <f t="shared" ca="1" si="12"/>
        <v>2.3140000000000001</v>
      </c>
    </row>
    <row r="37" spans="1:41" ht="17.25" customHeight="1">
      <c r="A37" s="56">
        <f t="shared" ca="1" si="10"/>
        <v>194.97303934979277</v>
      </c>
      <c r="B37" s="52" t="s">
        <v>168</v>
      </c>
      <c r="P37" s="210"/>
      <c r="Q37" s="210"/>
      <c r="R37" s="219" t="s">
        <v>287</v>
      </c>
      <c r="S37" s="227" t="str">
        <f t="shared" si="11"/>
        <v>Non FF  14th year of service</v>
      </c>
      <c r="T37" s="265">
        <f ca="1">'January 1, 2026'!T37*'January 1, 2027'!IncrPerc2025</f>
        <v>194.97303934979277</v>
      </c>
      <c r="U37" s="220">
        <f t="shared" ca="1" si="13"/>
        <v>1.7854673933131207</v>
      </c>
      <c r="V37" s="220">
        <f t="shared" ca="1" si="14"/>
        <v>2.4371629918724098</v>
      </c>
      <c r="W37" s="224"/>
      <c r="Y37" s="225"/>
      <c r="AA37" s="279">
        <f ca="1">T37/'January 1, 2026'!T37</f>
        <v>1.03</v>
      </c>
      <c r="AB37" s="279">
        <f ca="1">U37/'January 1, 2026'!U37</f>
        <v>1.0300000000000002</v>
      </c>
      <c r="AC37" s="279">
        <f ca="1">V37/'January 1, 2026'!V37</f>
        <v>1.03</v>
      </c>
      <c r="AK37" s="165" t="str">
        <f t="shared" si="9"/>
        <v>Non FF  14th year of service</v>
      </c>
      <c r="AL37" s="165"/>
      <c r="AM37" s="165"/>
      <c r="AN37" s="206">
        <f t="shared" ca="1" si="12"/>
        <v>1.7849999999999999</v>
      </c>
      <c r="AO37" s="206">
        <f t="shared" ca="1" si="12"/>
        <v>2.4369999999999998</v>
      </c>
    </row>
    <row r="38" spans="1:41" ht="17.25" customHeight="1">
      <c r="A38" s="56">
        <f t="shared" ca="1" si="10"/>
        <v>255.02473546952905</v>
      </c>
      <c r="B38" s="52" t="s">
        <v>169</v>
      </c>
      <c r="P38" s="210"/>
      <c r="Q38" s="210"/>
      <c r="R38" s="219" t="s">
        <v>287</v>
      </c>
      <c r="S38" s="227" t="str">
        <f t="shared" si="11"/>
        <v>Non FF  15th year of service</v>
      </c>
      <c r="T38" s="265">
        <f ca="1">'January 1, 2026'!T38*'January 1, 2027'!IncrPerc2025</f>
        <v>255.02473546952905</v>
      </c>
      <c r="U38" s="220">
        <f t="shared" ca="1" si="13"/>
        <v>2.3353913504535626</v>
      </c>
      <c r="V38" s="220">
        <f t="shared" ca="1" si="14"/>
        <v>3.1878091933691133</v>
      </c>
      <c r="W38" s="224"/>
      <c r="Y38" s="225"/>
      <c r="AA38" s="279">
        <f ca="1">T38/'January 1, 2026'!T38</f>
        <v>1.03</v>
      </c>
      <c r="AB38" s="279">
        <f ca="1">U38/'January 1, 2026'!U38</f>
        <v>1.03</v>
      </c>
      <c r="AC38" s="279">
        <f ca="1">V38/'January 1, 2026'!V38</f>
        <v>1.03</v>
      </c>
      <c r="AK38" s="165" t="str">
        <f t="shared" si="9"/>
        <v>Non FF  15th year of service</v>
      </c>
      <c r="AL38" s="165"/>
      <c r="AM38" s="165"/>
      <c r="AN38" s="206">
        <f t="shared" ca="1" si="12"/>
        <v>2.335</v>
      </c>
      <c r="AO38" s="206">
        <f t="shared" ca="1" si="12"/>
        <v>3.1880000000000002</v>
      </c>
    </row>
    <row r="39" spans="1:41" ht="17.25" customHeight="1">
      <c r="A39" s="56">
        <f t="shared" ca="1" si="10"/>
        <v>264.86201154581369</v>
      </c>
      <c r="B39" s="52" t="s">
        <v>170</v>
      </c>
      <c r="P39" s="210"/>
      <c r="Q39" s="210"/>
      <c r="R39" s="219" t="s">
        <v>287</v>
      </c>
      <c r="S39" s="227" t="str">
        <f t="shared" si="11"/>
        <v>Non FF  16th year of service</v>
      </c>
      <c r="T39" s="265">
        <f ca="1">'January 1, 2026'!T39*'January 1, 2027'!IncrPerc2025</f>
        <v>264.86201154581369</v>
      </c>
      <c r="U39" s="220">
        <f t="shared" ca="1" si="13"/>
        <v>2.4254762962070848</v>
      </c>
      <c r="V39" s="220">
        <f t="shared" ca="1" si="14"/>
        <v>3.3107751443226712</v>
      </c>
      <c r="W39" s="224"/>
      <c r="Y39" s="225"/>
      <c r="AA39" s="279">
        <f ca="1">T39/'January 1, 2026'!T39</f>
        <v>1.03</v>
      </c>
      <c r="AB39" s="279">
        <f ca="1">U39/'January 1, 2026'!U39</f>
        <v>1.03</v>
      </c>
      <c r="AC39" s="279">
        <f ca="1">V39/'January 1, 2026'!V39</f>
        <v>1.03</v>
      </c>
      <c r="AK39" s="165" t="str">
        <f t="shared" si="9"/>
        <v>Non FF  16th year of service</v>
      </c>
      <c r="AL39" s="165"/>
      <c r="AM39" s="165"/>
      <c r="AN39" s="206">
        <f t="shared" ca="1" si="12"/>
        <v>2.4249999999999998</v>
      </c>
      <c r="AO39" s="206">
        <f t="shared" ca="1" si="12"/>
        <v>3.3109999999999999</v>
      </c>
    </row>
    <row r="40" spans="1:41" ht="17.25" customHeight="1">
      <c r="A40" s="56">
        <f t="shared" ca="1" si="10"/>
        <v>274.71701244385764</v>
      </c>
      <c r="B40" s="52" t="s">
        <v>171</v>
      </c>
      <c r="P40" s="210"/>
      <c r="Q40" s="210"/>
      <c r="R40" s="219" t="s">
        <v>287</v>
      </c>
      <c r="S40" s="227" t="str">
        <f t="shared" si="11"/>
        <v>Non FF  17th year of service</v>
      </c>
      <c r="T40" s="265">
        <f ca="1">'January 1, 2026'!T40*'January 1, 2027'!IncrPerc2025</f>
        <v>274.71701244385764</v>
      </c>
      <c r="U40" s="220">
        <f t="shared" ca="1" si="13"/>
        <v>2.5157235571781835</v>
      </c>
      <c r="V40" s="220">
        <f t="shared" ca="1" si="14"/>
        <v>3.4339626555482203</v>
      </c>
      <c r="W40" s="224"/>
      <c r="Y40" s="225"/>
      <c r="AA40" s="279">
        <f ca="1">T40/'January 1, 2026'!T40</f>
        <v>1.03</v>
      </c>
      <c r="AB40" s="279">
        <f ca="1">U40/'January 1, 2026'!U40</f>
        <v>1.03</v>
      </c>
      <c r="AC40" s="279">
        <f ca="1">V40/'January 1, 2026'!V40</f>
        <v>1.03</v>
      </c>
      <c r="AK40" s="165" t="str">
        <f t="shared" si="9"/>
        <v>Non FF  17th year of service</v>
      </c>
      <c r="AL40" s="165"/>
      <c r="AM40" s="165"/>
      <c r="AN40" s="206">
        <f t="shared" ca="1" si="12"/>
        <v>2.516</v>
      </c>
      <c r="AO40" s="206">
        <f t="shared" ca="1" si="12"/>
        <v>3.4340000000000002</v>
      </c>
    </row>
    <row r="41" spans="1:41" ht="17.25" customHeight="1">
      <c r="A41" s="56">
        <f t="shared" ca="1" si="10"/>
        <v>284.5720133419029</v>
      </c>
      <c r="B41" s="52" t="s">
        <v>172</v>
      </c>
      <c r="P41" s="210"/>
      <c r="Q41" s="210"/>
      <c r="R41" s="219" t="s">
        <v>287</v>
      </c>
      <c r="S41" s="227" t="str">
        <f t="shared" si="11"/>
        <v>Non FF  18th year of service</v>
      </c>
      <c r="T41" s="265">
        <f ca="1">'January 1, 2026'!T41*'January 1, 2027'!IncrPerc2025</f>
        <v>284.5720133419029</v>
      </c>
      <c r="U41" s="220">
        <f t="shared" ca="1" si="13"/>
        <v>2.6059708181492938</v>
      </c>
      <c r="V41" s="220">
        <f t="shared" ca="1" si="14"/>
        <v>3.5571501667737864</v>
      </c>
      <c r="W41" s="224"/>
      <c r="Y41" s="225"/>
      <c r="AA41" s="279">
        <f ca="1">T41/'January 1, 2026'!T41</f>
        <v>1.03</v>
      </c>
      <c r="AB41" s="279">
        <f ca="1">U41/'January 1, 2026'!U41</f>
        <v>1.0299999999999998</v>
      </c>
      <c r="AC41" s="279">
        <f ca="1">V41/'January 1, 2026'!V41</f>
        <v>1.03</v>
      </c>
      <c r="AK41" s="165" t="str">
        <f t="shared" si="9"/>
        <v>Non FF  18th year of service</v>
      </c>
      <c r="AL41" s="165"/>
      <c r="AM41" s="165"/>
      <c r="AN41" s="206">
        <f t="shared" ca="1" si="12"/>
        <v>2.6059999999999999</v>
      </c>
      <c r="AO41" s="206">
        <f t="shared" ca="1" si="12"/>
        <v>3.5569999999999999</v>
      </c>
    </row>
    <row r="42" spans="1:41" ht="17.25" customHeight="1">
      <c r="A42" s="56">
        <f t="shared" ca="1" si="10"/>
        <v>312.50633243419986</v>
      </c>
      <c r="B42" s="52" t="s">
        <v>173</v>
      </c>
      <c r="P42" s="210"/>
      <c r="Q42" s="210"/>
      <c r="R42" s="219" t="s">
        <v>287</v>
      </c>
      <c r="S42" s="227" t="str">
        <f t="shared" si="11"/>
        <v>Non FF  19th year of service</v>
      </c>
      <c r="T42" s="265">
        <f ca="1">'January 1, 2026'!T42*'January 1, 2027'!IncrPerc2025</f>
        <v>312.50633243419986</v>
      </c>
      <c r="U42" s="220">
        <f t="shared" ca="1" si="13"/>
        <v>2.8617796010457863</v>
      </c>
      <c r="V42" s="220">
        <f t="shared" ca="1" si="14"/>
        <v>3.9063291554274984</v>
      </c>
      <c r="W42" s="224"/>
      <c r="Y42" s="225"/>
      <c r="AA42" s="279">
        <f ca="1">T42/'January 1, 2026'!T42</f>
        <v>1.03</v>
      </c>
      <c r="AB42" s="279">
        <f ca="1">U42/'January 1, 2026'!U42</f>
        <v>1.03</v>
      </c>
      <c r="AC42" s="279">
        <f ca="1">V42/'January 1, 2026'!V42</f>
        <v>1.03</v>
      </c>
      <c r="AK42" s="165" t="str">
        <f t="shared" si="9"/>
        <v>Non FF  19th year of service</v>
      </c>
      <c r="AL42" s="165"/>
      <c r="AM42" s="165"/>
      <c r="AN42" s="206">
        <f t="shared" ca="1" si="12"/>
        <v>2.8620000000000001</v>
      </c>
      <c r="AO42" s="206">
        <f t="shared" ca="1" si="12"/>
        <v>3.9060000000000001</v>
      </c>
    </row>
    <row r="43" spans="1:41" ht="17.25" customHeight="1">
      <c r="A43" s="56">
        <f t="shared" ca="1" si="10"/>
        <v>392.62252678520537</v>
      </c>
      <c r="B43" s="52" t="s">
        <v>174</v>
      </c>
      <c r="P43" s="210"/>
      <c r="Q43" s="210"/>
      <c r="R43" s="219" t="s">
        <v>287</v>
      </c>
      <c r="S43" s="227" t="str">
        <f t="shared" si="11"/>
        <v>Non FF  20th year of service</v>
      </c>
      <c r="T43" s="265">
        <f ca="1">'January 1, 2026'!T43*'January 1, 2027'!IncrPerc2025</f>
        <v>392.62252678520537</v>
      </c>
      <c r="U43" s="220">
        <f t="shared" ca="1" si="13"/>
        <v>3.5954443844799027</v>
      </c>
      <c r="V43" s="220">
        <f t="shared" ca="1" si="14"/>
        <v>4.9077815848150674</v>
      </c>
      <c r="W43" s="224"/>
      <c r="Y43" s="225"/>
      <c r="AA43" s="279">
        <f ca="1">T43/'January 1, 2026'!T43</f>
        <v>1.03</v>
      </c>
      <c r="AB43" s="279">
        <f ca="1">U43/'January 1, 2026'!U43</f>
        <v>1.03</v>
      </c>
      <c r="AC43" s="279">
        <f ca="1">V43/'January 1, 2026'!V43</f>
        <v>1.03</v>
      </c>
      <c r="AK43" s="165" t="str">
        <f t="shared" si="9"/>
        <v>Non FF  20th year of service</v>
      </c>
      <c r="AL43" s="165"/>
      <c r="AM43" s="165"/>
      <c r="AN43" s="206">
        <f t="shared" ca="1" si="12"/>
        <v>3.5950000000000002</v>
      </c>
      <c r="AO43" s="206">
        <f t="shared" ca="1" si="12"/>
        <v>4.9080000000000004</v>
      </c>
    </row>
    <row r="44" spans="1:41" ht="17.25" customHeight="1">
      <c r="A44" s="56">
        <f t="shared" ca="1" si="10"/>
        <v>402.47752768324943</v>
      </c>
      <c r="B44" s="52" t="s">
        <v>175</v>
      </c>
      <c r="P44" s="210"/>
      <c r="Q44" s="210"/>
      <c r="R44" s="219" t="s">
        <v>287</v>
      </c>
      <c r="S44" s="227" t="str">
        <f t="shared" si="11"/>
        <v>Non FF  21st year of service</v>
      </c>
      <c r="T44" s="265">
        <f ca="1">'January 1, 2026'!T44*'January 1, 2027'!IncrPerc2025</f>
        <v>402.47752768324943</v>
      </c>
      <c r="U44" s="220">
        <f t="shared" ca="1" si="13"/>
        <v>3.6856916454510023</v>
      </c>
      <c r="V44" s="220">
        <f t="shared" ca="1" si="14"/>
        <v>5.0309690960406179</v>
      </c>
      <c r="W44" s="224"/>
      <c r="Y44" s="225"/>
      <c r="AA44" s="279">
        <f ca="1">T44/'January 1, 2026'!T44</f>
        <v>1.03</v>
      </c>
      <c r="AB44" s="279">
        <f ca="1">U44/'January 1, 2026'!U44</f>
        <v>1.03</v>
      </c>
      <c r="AC44" s="279">
        <f ca="1">V44/'January 1, 2026'!V44</f>
        <v>1.03</v>
      </c>
      <c r="AK44" s="165" t="str">
        <f t="shared" si="9"/>
        <v>Non FF  21st year of service</v>
      </c>
      <c r="AL44" s="165"/>
      <c r="AM44" s="165"/>
      <c r="AN44" s="206">
        <f t="shared" ca="1" si="12"/>
        <v>3.6859999999999999</v>
      </c>
      <c r="AO44" s="206">
        <f t="shared" ca="1" si="12"/>
        <v>5.0309999999999997</v>
      </c>
    </row>
    <row r="45" spans="1:41" ht="17.25" customHeight="1">
      <c r="A45" s="56">
        <f t="shared" ca="1" si="10"/>
        <v>412.33252858129327</v>
      </c>
      <c r="B45" s="52" t="s">
        <v>176</v>
      </c>
      <c r="P45" s="210"/>
      <c r="Q45" s="210"/>
      <c r="R45" s="219" t="s">
        <v>287</v>
      </c>
      <c r="S45" s="227" t="str">
        <f t="shared" si="11"/>
        <v>Non FF  22nd year of service</v>
      </c>
      <c r="T45" s="265">
        <f ca="1">'January 1, 2026'!T45*'January 1, 2027'!IncrPerc2025</f>
        <v>412.33252858129327</v>
      </c>
      <c r="U45" s="220">
        <f t="shared" ca="1" si="13"/>
        <v>3.7759389064220996</v>
      </c>
      <c r="V45" s="220">
        <f t="shared" ca="1" si="14"/>
        <v>5.1541566072661658</v>
      </c>
      <c r="W45" s="224"/>
      <c r="Y45" s="225"/>
      <c r="AA45" s="279">
        <f ca="1">T45/'January 1, 2026'!T45</f>
        <v>1.03</v>
      </c>
      <c r="AB45" s="279">
        <f ca="1">U45/'January 1, 2026'!U45</f>
        <v>1.03</v>
      </c>
      <c r="AC45" s="279">
        <f ca="1">V45/'January 1, 2026'!V45</f>
        <v>1.03</v>
      </c>
      <c r="AK45" s="165" t="str">
        <f t="shared" si="9"/>
        <v>Non FF  22nd year of service</v>
      </c>
      <c r="AL45" s="165"/>
      <c r="AM45" s="165"/>
      <c r="AN45" s="206">
        <f t="shared" ca="1" si="12"/>
        <v>3.7759999999999998</v>
      </c>
      <c r="AO45" s="206">
        <f t="shared" ca="1" si="12"/>
        <v>5.1539999999999999</v>
      </c>
    </row>
    <row r="46" spans="1:41" ht="17.25" customHeight="1">
      <c r="A46" s="56">
        <f t="shared" ca="1" si="10"/>
        <v>422.18752947933848</v>
      </c>
      <c r="B46" s="52" t="s">
        <v>177</v>
      </c>
      <c r="P46" s="210"/>
      <c r="Q46" s="210"/>
      <c r="R46" s="219" t="s">
        <v>287</v>
      </c>
      <c r="S46" s="227" t="str">
        <f t="shared" si="11"/>
        <v>Non FF  23rd year of service</v>
      </c>
      <c r="T46" s="265">
        <f ca="1">'January 1, 2026'!T46*'January 1, 2027'!IncrPerc2025</f>
        <v>422.18752947933848</v>
      </c>
      <c r="U46" s="220">
        <f t="shared" ca="1" si="13"/>
        <v>3.8661861673932094</v>
      </c>
      <c r="V46" s="220">
        <f t="shared" ca="1" si="14"/>
        <v>5.2773441184917314</v>
      </c>
      <c r="W46" s="224"/>
      <c r="Y46" s="225"/>
      <c r="AA46" s="279">
        <f ca="1">T46/'January 1, 2026'!T46</f>
        <v>1.03</v>
      </c>
      <c r="AB46" s="279">
        <f ca="1">U46/'January 1, 2026'!U46</f>
        <v>1.03</v>
      </c>
      <c r="AC46" s="279">
        <f ca="1">V46/'January 1, 2026'!V46</f>
        <v>1.03</v>
      </c>
      <c r="AK46" s="165" t="str">
        <f t="shared" si="9"/>
        <v>Non FF  23rd year of service</v>
      </c>
      <c r="AL46" s="165"/>
      <c r="AM46" s="165"/>
      <c r="AN46" s="206">
        <f t="shared" ref="AN46:AO48" ca="1" si="15">ROUND(U46,3)</f>
        <v>3.8660000000000001</v>
      </c>
      <c r="AO46" s="206">
        <f t="shared" ca="1" si="15"/>
        <v>5.2770000000000001</v>
      </c>
    </row>
    <row r="47" spans="1:41" ht="17.25" customHeight="1">
      <c r="A47" s="56">
        <f t="shared" ca="1" si="10"/>
        <v>432.04253037738232</v>
      </c>
      <c r="B47" s="52" t="s">
        <v>178</v>
      </c>
      <c r="P47" s="210"/>
      <c r="Q47" s="210"/>
      <c r="R47" s="219" t="s">
        <v>287</v>
      </c>
      <c r="S47" s="227" t="str">
        <f t="shared" si="11"/>
        <v>Non FF  24th year of service</v>
      </c>
      <c r="T47" s="265">
        <f ca="1">'January 1, 2026'!T47*'January 1, 2027'!IncrPerc2025</f>
        <v>432.04253037738232</v>
      </c>
      <c r="U47" s="220">
        <f t="shared" ca="1" si="13"/>
        <v>3.9564334283643068</v>
      </c>
      <c r="V47" s="220">
        <f t="shared" ca="1" si="14"/>
        <v>5.4005316297172792</v>
      </c>
      <c r="W47" s="224"/>
      <c r="Y47" s="225"/>
      <c r="AA47" s="279">
        <f ca="1">T47/'January 1, 2026'!T47</f>
        <v>1.03</v>
      </c>
      <c r="AB47" s="279">
        <f ca="1">U47/'January 1, 2026'!U47</f>
        <v>1.03</v>
      </c>
      <c r="AC47" s="279">
        <f ca="1">V47/'January 1, 2026'!V47</f>
        <v>1.03</v>
      </c>
      <c r="AK47" s="165" t="str">
        <f t="shared" si="9"/>
        <v>Non FF  24th year of service</v>
      </c>
      <c r="AL47" s="165"/>
      <c r="AM47" s="165"/>
      <c r="AN47" s="206">
        <f t="shared" ca="1" si="15"/>
        <v>3.956</v>
      </c>
      <c r="AO47" s="206">
        <f t="shared" ca="1" si="15"/>
        <v>5.4009999999999998</v>
      </c>
    </row>
    <row r="48" spans="1:41" ht="17.25" customHeight="1">
      <c r="A48" s="56">
        <f t="shared" ca="1" si="10"/>
        <v>471.99427862233085</v>
      </c>
      <c r="B48" s="52" t="s">
        <v>179</v>
      </c>
      <c r="P48" s="210"/>
      <c r="Q48" s="210"/>
      <c r="R48" s="219" t="s">
        <v>287</v>
      </c>
      <c r="S48" s="227" t="str">
        <f t="shared" si="11"/>
        <v>Non FF  25th year of service</v>
      </c>
      <c r="T48" s="265">
        <f ca="1">'January 1, 2026'!T48*'January 1, 2027'!IncrPerc2025</f>
        <v>471.99427862233085</v>
      </c>
      <c r="U48" s="220">
        <f t="shared" ca="1" si="13"/>
        <v>4.3222919287759236</v>
      </c>
      <c r="V48" s="220">
        <f t="shared" ca="1" si="14"/>
        <v>5.8999284827791358</v>
      </c>
      <c r="W48" s="224"/>
      <c r="Y48" s="225"/>
      <c r="AA48" s="279">
        <f ca="1">T48/'January 1, 2026'!T48</f>
        <v>1.03</v>
      </c>
      <c r="AB48" s="279">
        <f ca="1">U48/'January 1, 2026'!U48</f>
        <v>1.03</v>
      </c>
      <c r="AC48" s="279">
        <f ca="1">V48/'January 1, 2026'!V48</f>
        <v>1.03</v>
      </c>
      <c r="AK48" s="165" t="str">
        <f t="shared" si="9"/>
        <v>Non FF  25th year of service</v>
      </c>
      <c r="AL48" s="165"/>
      <c r="AM48" s="165"/>
      <c r="AN48" s="206">
        <f t="shared" ca="1" si="15"/>
        <v>4.3220000000000001</v>
      </c>
      <c r="AO48" s="206">
        <f t="shared" ca="1" si="15"/>
        <v>5.9</v>
      </c>
    </row>
    <row r="49" spans="1:41">
      <c r="A49" s="261"/>
      <c r="B49" s="52"/>
      <c r="P49" s="210"/>
      <c r="Q49" s="210"/>
      <c r="R49" s="223"/>
      <c r="U49" s="223"/>
      <c r="V49" s="210"/>
      <c r="W49" s="210"/>
      <c r="AA49" s="279"/>
      <c r="AB49" s="279"/>
      <c r="AC49" s="279"/>
      <c r="AN49" s="209"/>
      <c r="AO49" s="209"/>
    </row>
    <row r="50" spans="1:41" ht="27.75" customHeight="1">
      <c r="A50" s="262" t="s">
        <v>136</v>
      </c>
      <c r="B50" s="42" t="s">
        <v>181</v>
      </c>
      <c r="P50" s="210"/>
      <c r="Q50" s="210"/>
      <c r="R50" s="268" t="s">
        <v>286</v>
      </c>
      <c r="S50" s="269" t="s">
        <v>297</v>
      </c>
      <c r="T50" s="267"/>
      <c r="U50" s="216" t="s">
        <v>232</v>
      </c>
      <c r="V50" s="216" t="s">
        <v>233</v>
      </c>
      <c r="W50" s="210"/>
      <c r="AA50" s="279"/>
      <c r="AB50" s="279"/>
      <c r="AC50" s="279"/>
      <c r="AK50" s="207" t="s">
        <v>297</v>
      </c>
      <c r="AL50" s="165"/>
      <c r="AM50" s="207"/>
      <c r="AN50" s="208" t="str">
        <f>U50</f>
        <v>CFH/109.2</v>
      </c>
      <c r="AO50" s="208" t="str">
        <f>V50</f>
        <v>CFI/80</v>
      </c>
    </row>
    <row r="51" spans="1:41" ht="17.25" customHeight="1">
      <c r="A51" s="56">
        <f ca="1">T51</f>
        <v>21.69518183310425</v>
      </c>
      <c r="B51" s="52" t="s">
        <v>161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40"/>
      <c r="P51" s="210"/>
      <c r="Q51" s="210"/>
      <c r="R51" s="219" t="s">
        <v>287</v>
      </c>
      <c r="S51" s="227" t="str">
        <f t="shared" ref="S51:S70" si="16">"FF "&amp;B51</f>
        <v>FF  7th year of service</v>
      </c>
      <c r="T51" s="265">
        <f ca="1">'January 1, 2026'!T51*'January 1, 2027'!IncrPerc2025</f>
        <v>21.69518183310425</v>
      </c>
      <c r="U51" s="220">
        <f t="shared" ref="U51:U70" ca="1" si="17">T51/109.2</f>
        <v>0.19867382631047847</v>
      </c>
      <c r="V51" s="220">
        <f t="shared" ref="V51:V70" ca="1" si="18">T51/80</f>
        <v>0.27118977291380314</v>
      </c>
      <c r="W51" s="224"/>
      <c r="AA51" s="279">
        <f ca="1">T51/'January 1, 2026'!T51</f>
        <v>1.03</v>
      </c>
      <c r="AB51" s="279">
        <f ca="1">U51/'January 1, 2026'!U51</f>
        <v>1.03</v>
      </c>
      <c r="AC51" s="279">
        <f ca="1">V51/'January 1, 2026'!V51</f>
        <v>1.0300000000000002</v>
      </c>
      <c r="AK51" s="165" t="str">
        <f t="shared" ref="AK51:AK70" si="19">S51</f>
        <v>FF  7th year of service</v>
      </c>
      <c r="AL51" s="165"/>
      <c r="AM51" s="165"/>
      <c r="AN51" s="206">
        <f t="shared" ref="AN51:AO70" ca="1" si="20">ROUND(U51,3)</f>
        <v>0.19900000000000001</v>
      </c>
      <c r="AO51" s="206">
        <f t="shared" ca="1" si="20"/>
        <v>0.27100000000000002</v>
      </c>
    </row>
    <row r="52" spans="1:41" ht="17.25" customHeight="1">
      <c r="A52" s="56">
        <f t="shared" ref="A52:A70" ca="1" si="21">T52</f>
        <v>30.770290573749083</v>
      </c>
      <c r="B52" s="52" t="s">
        <v>162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40"/>
      <c r="P52" s="210"/>
      <c r="Q52" s="210"/>
      <c r="R52" s="219" t="s">
        <v>287</v>
      </c>
      <c r="S52" s="227" t="str">
        <f t="shared" si="16"/>
        <v>FF  8th year of service</v>
      </c>
      <c r="T52" s="265">
        <f ca="1">'January 1, 2026'!T52*'January 1, 2027'!IncrPerc2025</f>
        <v>30.770290573749083</v>
      </c>
      <c r="U52" s="220">
        <f t="shared" ca="1" si="17"/>
        <v>0.28177921770832492</v>
      </c>
      <c r="V52" s="220">
        <f t="shared" ca="1" si="18"/>
        <v>0.38462863217186355</v>
      </c>
      <c r="W52" s="224"/>
      <c r="Y52" s="225"/>
      <c r="AA52" s="279">
        <f ca="1">T52/'January 1, 2026'!T52</f>
        <v>1.03</v>
      </c>
      <c r="AB52" s="279">
        <f ca="1">U52/'January 1, 2026'!U52</f>
        <v>1.0299999999999998</v>
      </c>
      <c r="AC52" s="279">
        <f ca="1">V52/'January 1, 2026'!V52</f>
        <v>1.03</v>
      </c>
      <c r="AK52" s="165" t="str">
        <f t="shared" si="19"/>
        <v>FF  8th year of service</v>
      </c>
      <c r="AL52" s="165"/>
      <c r="AM52" s="165"/>
      <c r="AN52" s="206">
        <f t="shared" ca="1" si="20"/>
        <v>0.28199999999999997</v>
      </c>
      <c r="AO52" s="206">
        <f t="shared" ca="1" si="20"/>
        <v>0.38500000000000001</v>
      </c>
    </row>
    <row r="53" spans="1:41" ht="17.25" customHeight="1">
      <c r="A53" s="56">
        <f t="shared" ca="1" si="21"/>
        <v>39.845399314394037</v>
      </c>
      <c r="B53" s="52" t="s">
        <v>163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40"/>
      <c r="P53" s="210"/>
      <c r="Q53" s="210"/>
      <c r="R53" s="219" t="s">
        <v>287</v>
      </c>
      <c r="S53" s="227" t="str">
        <f t="shared" si="16"/>
        <v>FF  9th year of service</v>
      </c>
      <c r="T53" s="265">
        <f ca="1">'January 1, 2026'!T53*'January 1, 2027'!IncrPerc2025</f>
        <v>39.845399314394037</v>
      </c>
      <c r="U53" s="220">
        <f t="shared" ca="1" si="17"/>
        <v>0.36488460910617249</v>
      </c>
      <c r="V53" s="220">
        <f t="shared" ca="1" si="18"/>
        <v>0.49806749142992546</v>
      </c>
      <c r="W53" s="224"/>
      <c r="Y53" s="225"/>
      <c r="AA53" s="279">
        <f ca="1">T53/'January 1, 2026'!T53</f>
        <v>1.03</v>
      </c>
      <c r="AB53" s="279">
        <f ca="1">U53/'January 1, 2026'!U53</f>
        <v>1.03</v>
      </c>
      <c r="AC53" s="279">
        <f ca="1">V53/'January 1, 2026'!V53</f>
        <v>1.03</v>
      </c>
      <c r="AK53" s="165" t="str">
        <f t="shared" si="19"/>
        <v>FF  9th year of service</v>
      </c>
      <c r="AL53" s="165"/>
      <c r="AM53" s="165"/>
      <c r="AN53" s="206">
        <f t="shared" ca="1" si="20"/>
        <v>0.36499999999999999</v>
      </c>
      <c r="AO53" s="206">
        <f t="shared" ca="1" si="20"/>
        <v>0.498</v>
      </c>
    </row>
    <row r="54" spans="1:41" ht="17.25" customHeight="1">
      <c r="A54" s="56">
        <f t="shared" ca="1" si="21"/>
        <v>48.920508055039001</v>
      </c>
      <c r="B54" s="52" t="s">
        <v>164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40"/>
      <c r="P54" s="210"/>
      <c r="Q54" s="210"/>
      <c r="R54" s="219" t="s">
        <v>287</v>
      </c>
      <c r="S54" s="227" t="str">
        <f t="shared" si="16"/>
        <v>FF  10th year of service</v>
      </c>
      <c r="T54" s="265">
        <f ca="1">'January 1, 2026'!T54*'January 1, 2027'!IncrPerc2025</f>
        <v>48.920508055039001</v>
      </c>
      <c r="U54" s="220">
        <f t="shared" ca="1" si="17"/>
        <v>0.44799000050402016</v>
      </c>
      <c r="V54" s="220">
        <f t="shared" ca="1" si="18"/>
        <v>0.61150635068798753</v>
      </c>
      <c r="W54" s="224"/>
      <c r="Y54" s="225"/>
      <c r="AA54" s="279">
        <f ca="1">T54/'January 1, 2026'!T54</f>
        <v>1.03</v>
      </c>
      <c r="AB54" s="279">
        <f ca="1">U54/'January 1, 2026'!U54</f>
        <v>1.03</v>
      </c>
      <c r="AC54" s="279">
        <f ca="1">V54/'January 1, 2026'!V54</f>
        <v>1.03</v>
      </c>
      <c r="AK54" s="165" t="str">
        <f t="shared" si="19"/>
        <v>FF  10th year of service</v>
      </c>
      <c r="AL54" s="165"/>
      <c r="AM54" s="165"/>
      <c r="AN54" s="206">
        <f t="shared" ca="1" si="20"/>
        <v>0.44800000000000001</v>
      </c>
      <c r="AO54" s="206">
        <f t="shared" ca="1" si="20"/>
        <v>0.61199999999999999</v>
      </c>
    </row>
    <row r="55" spans="1:41" ht="17.25" customHeight="1">
      <c r="A55" s="56">
        <f t="shared" ca="1" si="21"/>
        <v>57.995616795683844</v>
      </c>
      <c r="B55" s="52" t="s">
        <v>165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40"/>
      <c r="P55" s="210"/>
      <c r="Q55" s="210"/>
      <c r="R55" s="219" t="s">
        <v>287</v>
      </c>
      <c r="S55" s="227" t="str">
        <f t="shared" si="16"/>
        <v>FF  11th year of service</v>
      </c>
      <c r="T55" s="265">
        <f ca="1">'January 1, 2026'!T55*'January 1, 2027'!IncrPerc2025</f>
        <v>57.995616795683844</v>
      </c>
      <c r="U55" s="220">
        <f t="shared" ca="1" si="17"/>
        <v>0.53109539190186672</v>
      </c>
      <c r="V55" s="220">
        <f t="shared" ca="1" si="18"/>
        <v>0.72494520994604805</v>
      </c>
      <c r="W55" s="224"/>
      <c r="Y55" s="225"/>
      <c r="AA55" s="279">
        <f ca="1">T55/'January 1, 2026'!T55</f>
        <v>1.03</v>
      </c>
      <c r="AB55" s="279">
        <f ca="1">U55/'January 1, 2026'!U55</f>
        <v>1.03</v>
      </c>
      <c r="AC55" s="279">
        <f ca="1">V55/'January 1, 2026'!V55</f>
        <v>1.03</v>
      </c>
      <c r="AK55" s="165" t="str">
        <f t="shared" si="19"/>
        <v>FF  11th year of service</v>
      </c>
      <c r="AL55" s="165"/>
      <c r="AM55" s="165"/>
      <c r="AN55" s="206">
        <f t="shared" ca="1" si="20"/>
        <v>0.53100000000000003</v>
      </c>
      <c r="AO55" s="206">
        <f t="shared" ca="1" si="20"/>
        <v>0.72499999999999998</v>
      </c>
    </row>
    <row r="56" spans="1:41" ht="17.25" customHeight="1">
      <c r="A56" s="56">
        <f t="shared" ca="1" si="21"/>
        <v>175.28076237546429</v>
      </c>
      <c r="B56" s="52" t="s">
        <v>166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40"/>
      <c r="P56" s="210"/>
      <c r="Q56" s="210"/>
      <c r="R56" s="219" t="s">
        <v>287</v>
      </c>
      <c r="S56" s="227" t="str">
        <f t="shared" si="16"/>
        <v>FF  12th year of service</v>
      </c>
      <c r="T56" s="265">
        <f ca="1">'January 1, 2026'!T56*'January 1, 2027'!IncrPerc2025</f>
        <v>175.28076237546429</v>
      </c>
      <c r="U56" s="220">
        <f t="shared" ca="1" si="17"/>
        <v>1.6051351865885009</v>
      </c>
      <c r="V56" s="220">
        <f t="shared" ca="1" si="18"/>
        <v>2.1910095296933036</v>
      </c>
      <c r="W56" s="224"/>
      <c r="Y56" s="225"/>
      <c r="AA56" s="279">
        <f ca="1">T56/'January 1, 2026'!T56</f>
        <v>1.03</v>
      </c>
      <c r="AB56" s="279">
        <f ca="1">U56/'January 1, 2026'!U56</f>
        <v>1.0300000000000002</v>
      </c>
      <c r="AC56" s="279">
        <f ca="1">V56/'January 1, 2026'!V56</f>
        <v>1.03</v>
      </c>
      <c r="AK56" s="165" t="str">
        <f t="shared" si="19"/>
        <v>FF  12th year of service</v>
      </c>
      <c r="AL56" s="165"/>
      <c r="AM56" s="165"/>
      <c r="AN56" s="206">
        <f t="shared" ca="1" si="20"/>
        <v>1.605</v>
      </c>
      <c r="AO56" s="206">
        <f t="shared" ca="1" si="20"/>
        <v>2.1909999999999998</v>
      </c>
    </row>
    <row r="57" spans="1:41" ht="17.25" customHeight="1">
      <c r="A57" s="56">
        <f t="shared" ca="1" si="21"/>
        <v>185.13576327350819</v>
      </c>
      <c r="B57" s="52" t="s">
        <v>167</v>
      </c>
      <c r="P57" s="210"/>
      <c r="Q57" s="210"/>
      <c r="R57" s="219" t="s">
        <v>287</v>
      </c>
      <c r="S57" s="227" t="str">
        <f t="shared" si="16"/>
        <v>FF  13th year of service</v>
      </c>
      <c r="T57" s="265">
        <f ca="1">'January 1, 2026'!T57*'January 1, 2027'!IncrPerc2025</f>
        <v>185.13576327350819</v>
      </c>
      <c r="U57" s="220">
        <f t="shared" ca="1" si="17"/>
        <v>1.6953824475595987</v>
      </c>
      <c r="V57" s="220">
        <f t="shared" ca="1" si="18"/>
        <v>2.3141970409188524</v>
      </c>
      <c r="W57" s="224"/>
      <c r="Y57" s="225"/>
      <c r="AA57" s="279">
        <f ca="1">T57/'January 1, 2026'!T57</f>
        <v>1.03</v>
      </c>
      <c r="AB57" s="279">
        <f ca="1">U57/'January 1, 2026'!U57</f>
        <v>1.03</v>
      </c>
      <c r="AC57" s="279">
        <f ca="1">V57/'January 1, 2026'!V57</f>
        <v>1.03</v>
      </c>
      <c r="AK57" s="165" t="str">
        <f t="shared" si="19"/>
        <v>FF  13th year of service</v>
      </c>
      <c r="AL57" s="165"/>
      <c r="AM57" s="165"/>
      <c r="AN57" s="206">
        <f t="shared" ca="1" si="20"/>
        <v>1.6950000000000001</v>
      </c>
      <c r="AO57" s="206">
        <f t="shared" ca="1" si="20"/>
        <v>2.3140000000000001</v>
      </c>
    </row>
    <row r="58" spans="1:41" ht="17.25" customHeight="1">
      <c r="A58" s="56">
        <f t="shared" ca="1" si="21"/>
        <v>194.97303934979277</v>
      </c>
      <c r="B58" s="52" t="s">
        <v>168</v>
      </c>
      <c r="P58" s="210"/>
      <c r="Q58" s="210"/>
      <c r="R58" s="219" t="s">
        <v>287</v>
      </c>
      <c r="S58" s="227" t="str">
        <f t="shared" si="16"/>
        <v>FF  14th year of service</v>
      </c>
      <c r="T58" s="265">
        <f ca="1">'January 1, 2026'!T58*'January 1, 2027'!IncrPerc2025</f>
        <v>194.97303934979277</v>
      </c>
      <c r="U58" s="220">
        <f t="shared" ca="1" si="17"/>
        <v>1.7854673933131207</v>
      </c>
      <c r="V58" s="220">
        <f t="shared" ca="1" si="18"/>
        <v>2.4371629918724098</v>
      </c>
      <c r="W58" s="224"/>
      <c r="Y58" s="225"/>
      <c r="AA58" s="279">
        <f ca="1">T58/'January 1, 2026'!T58</f>
        <v>1.03</v>
      </c>
      <c r="AB58" s="279">
        <f ca="1">U58/'January 1, 2026'!U58</f>
        <v>1.0300000000000002</v>
      </c>
      <c r="AC58" s="279">
        <f ca="1">V58/'January 1, 2026'!V58</f>
        <v>1.03</v>
      </c>
      <c r="AK58" s="165" t="str">
        <f t="shared" si="19"/>
        <v>FF  14th year of service</v>
      </c>
      <c r="AL58" s="165"/>
      <c r="AM58" s="165"/>
      <c r="AN58" s="206">
        <f t="shared" ca="1" si="20"/>
        <v>1.7849999999999999</v>
      </c>
      <c r="AO58" s="206">
        <f t="shared" ca="1" si="20"/>
        <v>2.4369999999999998</v>
      </c>
    </row>
    <row r="59" spans="1:41" ht="17.25" customHeight="1">
      <c r="A59" s="56">
        <f t="shared" ca="1" si="21"/>
        <v>255.02473546952905</v>
      </c>
      <c r="B59" s="52" t="s">
        <v>169</v>
      </c>
      <c r="P59" s="210"/>
      <c r="Q59" s="210"/>
      <c r="R59" s="219" t="s">
        <v>287</v>
      </c>
      <c r="S59" s="227" t="str">
        <f t="shared" si="16"/>
        <v>FF  15th year of service</v>
      </c>
      <c r="T59" s="265">
        <f ca="1">'January 1, 2026'!T59*'January 1, 2027'!IncrPerc2025</f>
        <v>255.02473546952905</v>
      </c>
      <c r="U59" s="220">
        <f t="shared" ca="1" si="17"/>
        <v>2.3353913504535626</v>
      </c>
      <c r="V59" s="220">
        <f t="shared" ca="1" si="18"/>
        <v>3.1878091933691133</v>
      </c>
      <c r="W59" s="224"/>
      <c r="Y59" s="225"/>
      <c r="AA59" s="279">
        <f ca="1">T59/'January 1, 2026'!T59</f>
        <v>1.03</v>
      </c>
      <c r="AB59" s="279">
        <f ca="1">U59/'January 1, 2026'!U59</f>
        <v>1.03</v>
      </c>
      <c r="AC59" s="279">
        <f ca="1">V59/'January 1, 2026'!V59</f>
        <v>1.03</v>
      </c>
      <c r="AK59" s="165" t="str">
        <f t="shared" si="19"/>
        <v>FF  15th year of service</v>
      </c>
      <c r="AL59" s="165"/>
      <c r="AM59" s="165"/>
      <c r="AN59" s="206">
        <f t="shared" ca="1" si="20"/>
        <v>2.335</v>
      </c>
      <c r="AO59" s="206">
        <f t="shared" ca="1" si="20"/>
        <v>3.1880000000000002</v>
      </c>
    </row>
    <row r="60" spans="1:41" ht="17.25" customHeight="1">
      <c r="A60" s="56">
        <f t="shared" ca="1" si="21"/>
        <v>264.86201154581369</v>
      </c>
      <c r="B60" s="52" t="s">
        <v>170</v>
      </c>
      <c r="P60" s="210"/>
      <c r="Q60" s="210"/>
      <c r="R60" s="219" t="s">
        <v>287</v>
      </c>
      <c r="S60" s="227" t="str">
        <f t="shared" si="16"/>
        <v>FF  16th year of service</v>
      </c>
      <c r="T60" s="265">
        <f ca="1">'January 1, 2026'!T60*'January 1, 2027'!IncrPerc2025</f>
        <v>264.86201154581369</v>
      </c>
      <c r="U60" s="220">
        <f t="shared" ca="1" si="17"/>
        <v>2.4254762962070848</v>
      </c>
      <c r="V60" s="220">
        <f t="shared" ca="1" si="18"/>
        <v>3.3107751443226712</v>
      </c>
      <c r="W60" s="224"/>
      <c r="Y60" s="225"/>
      <c r="AA60" s="279">
        <f ca="1">T60/'January 1, 2026'!T60</f>
        <v>1.03</v>
      </c>
      <c r="AB60" s="279">
        <f ca="1">U60/'January 1, 2026'!U60</f>
        <v>1.03</v>
      </c>
      <c r="AC60" s="279">
        <f ca="1">V60/'January 1, 2026'!V60</f>
        <v>1.03</v>
      </c>
      <c r="AK60" s="165" t="str">
        <f t="shared" si="19"/>
        <v>FF  16th year of service</v>
      </c>
      <c r="AL60" s="165"/>
      <c r="AM60" s="165"/>
      <c r="AN60" s="206">
        <f t="shared" ca="1" si="20"/>
        <v>2.4249999999999998</v>
      </c>
      <c r="AO60" s="206">
        <f t="shared" ca="1" si="20"/>
        <v>3.3109999999999999</v>
      </c>
    </row>
    <row r="61" spans="1:41" ht="17.25" customHeight="1">
      <c r="A61" s="56">
        <f t="shared" ca="1" si="21"/>
        <v>274.71701244385764</v>
      </c>
      <c r="B61" s="52" t="s">
        <v>171</v>
      </c>
      <c r="P61" s="210"/>
      <c r="Q61" s="210"/>
      <c r="R61" s="219" t="s">
        <v>287</v>
      </c>
      <c r="S61" s="227" t="str">
        <f t="shared" si="16"/>
        <v>FF  17th year of service</v>
      </c>
      <c r="T61" s="265">
        <f ca="1">'January 1, 2026'!T61*'January 1, 2027'!IncrPerc2025</f>
        <v>274.71701244385764</v>
      </c>
      <c r="U61" s="220">
        <f t="shared" ca="1" si="17"/>
        <v>2.5157235571781835</v>
      </c>
      <c r="V61" s="220">
        <f t="shared" ca="1" si="18"/>
        <v>3.4339626555482203</v>
      </c>
      <c r="W61" s="224"/>
      <c r="Y61" s="225"/>
      <c r="AA61" s="279">
        <f ca="1">T61/'January 1, 2026'!T61</f>
        <v>1.03</v>
      </c>
      <c r="AB61" s="279">
        <f ca="1">U61/'January 1, 2026'!U61</f>
        <v>1.03</v>
      </c>
      <c r="AC61" s="279">
        <f ca="1">V61/'January 1, 2026'!V61</f>
        <v>1.03</v>
      </c>
      <c r="AK61" s="165" t="str">
        <f t="shared" si="19"/>
        <v>FF  17th year of service</v>
      </c>
      <c r="AL61" s="165"/>
      <c r="AM61" s="165"/>
      <c r="AN61" s="206">
        <f t="shared" ca="1" si="20"/>
        <v>2.516</v>
      </c>
      <c r="AO61" s="206">
        <f t="shared" ca="1" si="20"/>
        <v>3.4340000000000002</v>
      </c>
    </row>
    <row r="62" spans="1:41" ht="17.25" customHeight="1">
      <c r="A62" s="56">
        <f t="shared" ca="1" si="21"/>
        <v>284.5720133419029</v>
      </c>
      <c r="B62" s="52" t="s">
        <v>172</v>
      </c>
      <c r="P62" s="210"/>
      <c r="Q62" s="210"/>
      <c r="R62" s="219" t="s">
        <v>287</v>
      </c>
      <c r="S62" s="227" t="str">
        <f t="shared" si="16"/>
        <v>FF  18th year of service</v>
      </c>
      <c r="T62" s="265">
        <f ca="1">'January 1, 2026'!T62*'January 1, 2027'!IncrPerc2025</f>
        <v>284.5720133419029</v>
      </c>
      <c r="U62" s="220">
        <f t="shared" ca="1" si="17"/>
        <v>2.6059708181492938</v>
      </c>
      <c r="V62" s="220">
        <f t="shared" ca="1" si="18"/>
        <v>3.5571501667737864</v>
      </c>
      <c r="W62" s="224"/>
      <c r="Y62" s="225"/>
      <c r="AA62" s="279">
        <f ca="1">T62/'January 1, 2026'!T62</f>
        <v>1.03</v>
      </c>
      <c r="AB62" s="279">
        <f ca="1">U62/'January 1, 2026'!U62</f>
        <v>1.0299999999999998</v>
      </c>
      <c r="AC62" s="279">
        <f ca="1">V62/'January 1, 2026'!V62</f>
        <v>1.03</v>
      </c>
      <c r="AK62" s="165" t="str">
        <f t="shared" si="19"/>
        <v>FF  18th year of service</v>
      </c>
      <c r="AL62" s="165"/>
      <c r="AM62" s="165"/>
      <c r="AN62" s="206">
        <f t="shared" ca="1" si="20"/>
        <v>2.6059999999999999</v>
      </c>
      <c r="AO62" s="206">
        <f t="shared" ca="1" si="20"/>
        <v>3.5569999999999999</v>
      </c>
    </row>
    <row r="63" spans="1:41" ht="17.25" customHeight="1">
      <c r="A63" s="56">
        <f t="shared" ca="1" si="21"/>
        <v>312.50633243419986</v>
      </c>
      <c r="B63" s="52" t="s">
        <v>173</v>
      </c>
      <c r="P63" s="210"/>
      <c r="Q63" s="210"/>
      <c r="R63" s="219" t="s">
        <v>287</v>
      </c>
      <c r="S63" s="227" t="str">
        <f t="shared" si="16"/>
        <v>FF  19th year of service</v>
      </c>
      <c r="T63" s="265">
        <f ca="1">'January 1, 2026'!T63*'January 1, 2027'!IncrPerc2025</f>
        <v>312.50633243419986</v>
      </c>
      <c r="U63" s="220">
        <f t="shared" ca="1" si="17"/>
        <v>2.8617796010457863</v>
      </c>
      <c r="V63" s="220">
        <f t="shared" ca="1" si="18"/>
        <v>3.9063291554274984</v>
      </c>
      <c r="W63" s="224"/>
      <c r="Y63" s="225"/>
      <c r="AA63" s="279">
        <f ca="1">T63/'January 1, 2026'!T63</f>
        <v>1.03</v>
      </c>
      <c r="AB63" s="279">
        <f ca="1">U63/'January 1, 2026'!U63</f>
        <v>1.03</v>
      </c>
      <c r="AC63" s="279">
        <f ca="1">V63/'January 1, 2026'!V63</f>
        <v>1.03</v>
      </c>
      <c r="AK63" s="165" t="str">
        <f t="shared" si="19"/>
        <v>FF  19th year of service</v>
      </c>
      <c r="AL63" s="165"/>
      <c r="AM63" s="165"/>
      <c r="AN63" s="206">
        <f t="shared" ca="1" si="20"/>
        <v>2.8620000000000001</v>
      </c>
      <c r="AO63" s="206">
        <f t="shared" ca="1" si="20"/>
        <v>3.9060000000000001</v>
      </c>
    </row>
    <row r="64" spans="1:41" ht="17.25" customHeight="1">
      <c r="A64" s="56">
        <f t="shared" ca="1" si="21"/>
        <v>392.62252678520537</v>
      </c>
      <c r="B64" s="52" t="s">
        <v>174</v>
      </c>
      <c r="P64" s="210"/>
      <c r="Q64" s="210"/>
      <c r="R64" s="219" t="s">
        <v>287</v>
      </c>
      <c r="S64" s="227" t="str">
        <f t="shared" si="16"/>
        <v>FF  20th year of service</v>
      </c>
      <c r="T64" s="265">
        <f ca="1">'January 1, 2026'!T64*'January 1, 2027'!IncrPerc2025</f>
        <v>392.62252678520537</v>
      </c>
      <c r="U64" s="220">
        <f t="shared" ca="1" si="17"/>
        <v>3.5954443844799027</v>
      </c>
      <c r="V64" s="220">
        <f t="shared" ca="1" si="18"/>
        <v>4.9077815848150674</v>
      </c>
      <c r="W64" s="224"/>
      <c r="Y64" s="225"/>
      <c r="AA64" s="279">
        <f ca="1">T64/'January 1, 2026'!T64</f>
        <v>1.03</v>
      </c>
      <c r="AB64" s="279">
        <f ca="1">U64/'January 1, 2026'!U64</f>
        <v>1.03</v>
      </c>
      <c r="AC64" s="279">
        <f ca="1">V64/'January 1, 2026'!V64</f>
        <v>1.03</v>
      </c>
      <c r="AK64" s="165" t="str">
        <f t="shared" si="19"/>
        <v>FF  20th year of service</v>
      </c>
      <c r="AL64" s="165"/>
      <c r="AM64" s="165"/>
      <c r="AN64" s="206">
        <f t="shared" ca="1" si="20"/>
        <v>3.5950000000000002</v>
      </c>
      <c r="AO64" s="206">
        <f t="shared" ca="1" si="20"/>
        <v>4.9080000000000004</v>
      </c>
    </row>
    <row r="65" spans="1:41" ht="17.25" customHeight="1">
      <c r="A65" s="56">
        <f t="shared" ca="1" si="21"/>
        <v>462.49690988761569</v>
      </c>
      <c r="B65" s="52" t="s">
        <v>175</v>
      </c>
      <c r="P65" s="210"/>
      <c r="Q65" s="210"/>
      <c r="R65" s="219" t="s">
        <v>287</v>
      </c>
      <c r="S65" s="227" t="str">
        <f t="shared" si="16"/>
        <v>FF  21st year of service</v>
      </c>
      <c r="T65" s="265">
        <f ca="1">'January 1, 2026'!T65*'January 1, 2027'!IncrPerc2025</f>
        <v>462.49690988761569</v>
      </c>
      <c r="U65" s="220">
        <f t="shared" ca="1" si="17"/>
        <v>4.2353196876155286</v>
      </c>
      <c r="V65" s="220">
        <f t="shared" ca="1" si="18"/>
        <v>5.7812113735951964</v>
      </c>
      <c r="W65" s="224"/>
      <c r="Y65" s="225"/>
      <c r="AA65" s="279">
        <f ca="1">T65/'January 1, 2026'!T65</f>
        <v>1.03</v>
      </c>
      <c r="AB65" s="279">
        <f ca="1">U65/'January 1, 2026'!U65</f>
        <v>1.03</v>
      </c>
      <c r="AC65" s="279">
        <f ca="1">V65/'January 1, 2026'!V65</f>
        <v>1.03</v>
      </c>
      <c r="AK65" s="165" t="str">
        <f t="shared" si="19"/>
        <v>FF  21st year of service</v>
      </c>
      <c r="AL65" s="165"/>
      <c r="AM65" s="165"/>
      <c r="AN65" s="206">
        <f t="shared" ca="1" si="20"/>
        <v>4.2350000000000003</v>
      </c>
      <c r="AO65" s="206">
        <f t="shared" ca="1" si="20"/>
        <v>5.7809999999999997</v>
      </c>
    </row>
    <row r="66" spans="1:41" ht="17.25" customHeight="1">
      <c r="A66" s="56">
        <f t="shared" ca="1" si="21"/>
        <v>472.35191078565981</v>
      </c>
      <c r="B66" s="52" t="s">
        <v>176</v>
      </c>
      <c r="P66" s="210"/>
      <c r="Q66" s="210"/>
      <c r="R66" s="219" t="s">
        <v>287</v>
      </c>
      <c r="S66" s="227" t="str">
        <f t="shared" si="16"/>
        <v>FF  22nd year of service</v>
      </c>
      <c r="T66" s="265">
        <f ca="1">'January 1, 2026'!T66*'January 1, 2027'!IncrPerc2025</f>
        <v>472.35191078565981</v>
      </c>
      <c r="U66" s="220">
        <f t="shared" ca="1" si="17"/>
        <v>4.3255669485866282</v>
      </c>
      <c r="V66" s="220">
        <f t="shared" ca="1" si="18"/>
        <v>5.9043988848207478</v>
      </c>
      <c r="W66" s="224"/>
      <c r="Y66" s="225"/>
      <c r="AA66" s="279">
        <f ca="1">T66/'January 1, 2026'!T66</f>
        <v>1.03</v>
      </c>
      <c r="AB66" s="279">
        <f ca="1">U66/'January 1, 2026'!U66</f>
        <v>1.03</v>
      </c>
      <c r="AC66" s="279">
        <f ca="1">V66/'January 1, 2026'!V66</f>
        <v>1.03</v>
      </c>
      <c r="AK66" s="165" t="str">
        <f t="shared" si="19"/>
        <v>FF  22nd year of service</v>
      </c>
      <c r="AL66" s="165"/>
      <c r="AM66" s="165"/>
      <c r="AN66" s="206">
        <f t="shared" ca="1" si="20"/>
        <v>4.3259999999999996</v>
      </c>
      <c r="AO66" s="206">
        <f t="shared" ca="1" si="20"/>
        <v>5.9039999999999999</v>
      </c>
    </row>
    <row r="67" spans="1:41" ht="17.25" customHeight="1">
      <c r="A67" s="56">
        <f t="shared" ca="1" si="21"/>
        <v>482.20691168370405</v>
      </c>
      <c r="B67" s="52" t="s">
        <v>177</v>
      </c>
      <c r="P67" s="210"/>
      <c r="Q67" s="210"/>
      <c r="R67" s="219" t="s">
        <v>287</v>
      </c>
      <c r="S67" s="227" t="str">
        <f t="shared" si="16"/>
        <v>FF  23rd year of service</v>
      </c>
      <c r="T67" s="265">
        <f ca="1">'January 1, 2026'!T67*'January 1, 2027'!IncrPerc2025</f>
        <v>482.20691168370405</v>
      </c>
      <c r="U67" s="220">
        <f t="shared" ca="1" si="17"/>
        <v>4.4158142095577295</v>
      </c>
      <c r="V67" s="220">
        <f t="shared" ca="1" si="18"/>
        <v>6.027586396046301</v>
      </c>
      <c r="W67" s="224"/>
      <c r="Y67" s="225"/>
      <c r="AA67" s="279">
        <f ca="1">T67/'January 1, 2026'!T67</f>
        <v>1.03</v>
      </c>
      <c r="AB67" s="279">
        <f ca="1">U67/'January 1, 2026'!U67</f>
        <v>1.03</v>
      </c>
      <c r="AC67" s="279">
        <f ca="1">V67/'January 1, 2026'!V67</f>
        <v>1.03</v>
      </c>
      <c r="AK67" s="165" t="str">
        <f t="shared" si="19"/>
        <v>FF  23rd year of service</v>
      </c>
      <c r="AL67" s="165"/>
      <c r="AM67" s="165"/>
      <c r="AN67" s="206">
        <f t="shared" ca="1" si="20"/>
        <v>4.4160000000000004</v>
      </c>
      <c r="AO67" s="206">
        <f t="shared" ca="1" si="20"/>
        <v>6.0279999999999996</v>
      </c>
    </row>
    <row r="68" spans="1:41" ht="17.25" customHeight="1">
      <c r="A68" s="56">
        <f t="shared" ca="1" si="21"/>
        <v>492.06191258174812</v>
      </c>
      <c r="B68" s="52" t="s">
        <v>178</v>
      </c>
      <c r="P68" s="210"/>
      <c r="Q68" s="210"/>
      <c r="R68" s="219" t="s">
        <v>287</v>
      </c>
      <c r="S68" s="227" t="str">
        <f t="shared" si="16"/>
        <v>FF  24th year of service</v>
      </c>
      <c r="T68" s="265">
        <f ca="1">'January 1, 2026'!T68*'January 1, 2027'!IncrPerc2025</f>
        <v>492.06191258174812</v>
      </c>
      <c r="U68" s="220">
        <f t="shared" ca="1" si="17"/>
        <v>4.5060614705288291</v>
      </c>
      <c r="V68" s="220">
        <f t="shared" ca="1" si="18"/>
        <v>6.1507739072718515</v>
      </c>
      <c r="W68" s="224"/>
      <c r="Y68" s="225"/>
      <c r="AA68" s="279">
        <f ca="1">T68/'January 1, 2026'!T68</f>
        <v>1.03</v>
      </c>
      <c r="AB68" s="279">
        <f ca="1">U68/'January 1, 2026'!U68</f>
        <v>1.03</v>
      </c>
      <c r="AC68" s="279">
        <f ca="1">V68/'January 1, 2026'!V68</f>
        <v>1.03</v>
      </c>
      <c r="AK68" s="165" t="str">
        <f t="shared" si="19"/>
        <v>FF  24th year of service</v>
      </c>
      <c r="AL68" s="165"/>
      <c r="AM68" s="165"/>
      <c r="AN68" s="206">
        <f t="shared" ca="1" si="20"/>
        <v>4.5060000000000002</v>
      </c>
      <c r="AO68" s="206">
        <f t="shared" ca="1" si="20"/>
        <v>6.1509999999999998</v>
      </c>
    </row>
    <row r="69" spans="1:41" ht="17.25" customHeight="1">
      <c r="A69" s="56">
        <f t="shared" ca="1" si="21"/>
        <v>532.01366082669665</v>
      </c>
      <c r="B69" s="52" t="s">
        <v>179</v>
      </c>
      <c r="P69" s="210"/>
      <c r="Q69" s="210"/>
      <c r="R69" s="219" t="s">
        <v>287</v>
      </c>
      <c r="S69" s="227" t="str">
        <f t="shared" si="16"/>
        <v>FF  25th year of service</v>
      </c>
      <c r="T69" s="265">
        <f ca="1">'January 1, 2026'!T69*'January 1, 2027'!IncrPerc2025</f>
        <v>532.01366082669665</v>
      </c>
      <c r="U69" s="220">
        <f t="shared" ca="1" si="17"/>
        <v>4.8719199709404455</v>
      </c>
      <c r="V69" s="220">
        <f t="shared" ca="1" si="18"/>
        <v>6.6501707603337081</v>
      </c>
      <c r="W69" s="224"/>
      <c r="Y69" s="225"/>
      <c r="AA69" s="279">
        <f ca="1">T69/'January 1, 2026'!T69</f>
        <v>1.03</v>
      </c>
      <c r="AB69" s="279">
        <f ca="1">U69/'January 1, 2026'!U69</f>
        <v>1.03</v>
      </c>
      <c r="AC69" s="279">
        <f ca="1">V69/'January 1, 2026'!V69</f>
        <v>1.03</v>
      </c>
      <c r="AK69" s="165" t="str">
        <f t="shared" si="19"/>
        <v>FF  25th year of service</v>
      </c>
      <c r="AL69" s="165"/>
      <c r="AM69" s="165"/>
      <c r="AN69" s="206">
        <f t="shared" ca="1" si="20"/>
        <v>4.8719999999999999</v>
      </c>
      <c r="AO69" s="206">
        <f t="shared" ca="1" si="20"/>
        <v>6.65</v>
      </c>
    </row>
    <row r="70" spans="1:41" ht="17.25" customHeight="1">
      <c r="A70" s="56">
        <f t="shared" ca="1" si="21"/>
        <v>609.39877887324838</v>
      </c>
      <c r="B70" s="52" t="s">
        <v>180</v>
      </c>
      <c r="P70" s="210"/>
      <c r="Q70" s="210"/>
      <c r="R70" s="219" t="s">
        <v>287</v>
      </c>
      <c r="S70" s="227" t="str">
        <f t="shared" si="16"/>
        <v>FF 26th year of service</v>
      </c>
      <c r="T70" s="265">
        <f ca="1">'January 1, 2026'!T70*'January 1, 2027'!IncrPerc2025</f>
        <v>609.39877887324838</v>
      </c>
      <c r="U70" s="220">
        <f t="shared" ca="1" si="17"/>
        <v>5.5805748981066703</v>
      </c>
      <c r="V70" s="220">
        <f t="shared" ca="1" si="18"/>
        <v>7.617484735915605</v>
      </c>
      <c r="W70" s="224"/>
      <c r="Y70" s="225"/>
      <c r="AA70" s="279">
        <f ca="1">T70/'January 1, 2026'!T70</f>
        <v>1.03</v>
      </c>
      <c r="AB70" s="279">
        <f ca="1">U70/'January 1, 2026'!U70</f>
        <v>1.03</v>
      </c>
      <c r="AC70" s="279">
        <f ca="1">V70/'January 1, 2026'!V70</f>
        <v>1.03</v>
      </c>
      <c r="AK70" s="165" t="str">
        <f t="shared" si="19"/>
        <v>FF 26th year of service</v>
      </c>
      <c r="AL70" s="165"/>
      <c r="AM70" s="165"/>
      <c r="AN70" s="206">
        <f t="shared" ca="1" si="20"/>
        <v>5.5810000000000004</v>
      </c>
      <c r="AO70" s="206">
        <f t="shared" ca="1" si="20"/>
        <v>7.617</v>
      </c>
    </row>
    <row r="71" spans="1:4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212"/>
      <c r="AA71" s="281"/>
      <c r="AB71" s="281"/>
      <c r="AC71" s="281"/>
    </row>
    <row r="72" spans="1:4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212"/>
    </row>
    <row r="73" spans="1:4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212"/>
    </row>
    <row r="74" spans="1:4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212"/>
    </row>
    <row r="75" spans="1:4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212"/>
    </row>
    <row r="76" spans="1:41">
      <c r="A76" s="42" t="s">
        <v>311</v>
      </c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46" t="s">
        <v>312</v>
      </c>
      <c r="P76" s="212"/>
    </row>
    <row r="77" spans="1:41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44"/>
      <c r="P77" s="212"/>
    </row>
    <row r="78" spans="1:41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44"/>
      <c r="P78" s="212"/>
    </row>
    <row r="79" spans="1:41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44"/>
      <c r="P79" s="212"/>
    </row>
    <row r="80" spans="1:41"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54"/>
      <c r="N80" s="44"/>
      <c r="P80" s="212"/>
    </row>
    <row r="81" spans="1:15">
      <c r="A81" s="41"/>
      <c r="B81" s="52"/>
    </row>
    <row r="82" spans="1:15">
      <c r="A82" s="41"/>
    </row>
    <row r="83" spans="1:15">
      <c r="A83" s="51"/>
    </row>
    <row r="84" spans="1:15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</row>
    <row r="85" spans="1:15">
      <c r="A85" s="51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26"/>
    </row>
    <row r="86" spans="1:15">
      <c r="A86" s="51"/>
      <c r="B86" s="52"/>
      <c r="O86" s="226"/>
    </row>
    <row r="87" spans="1:15">
      <c r="A87" s="51"/>
      <c r="B87" s="52"/>
      <c r="O87" s="226"/>
    </row>
    <row r="88" spans="1:15">
      <c r="A88" s="51"/>
      <c r="B88" s="52"/>
      <c r="O88" s="226"/>
    </row>
    <row r="89" spans="1:15">
      <c r="A89" s="51"/>
      <c r="B89" s="52"/>
      <c r="O89" s="226"/>
    </row>
    <row r="90" spans="1:15">
      <c r="A90" s="51"/>
      <c r="B90" s="52"/>
      <c r="O90" s="226"/>
    </row>
    <row r="91" spans="1:15">
      <c r="A91" s="51"/>
      <c r="B91" s="52"/>
      <c r="O91" s="226"/>
    </row>
    <row r="92" spans="1:15">
      <c r="A92" s="51"/>
      <c r="B92" s="52"/>
      <c r="O92" s="226"/>
    </row>
    <row r="93" spans="1:15">
      <c r="A93" s="51"/>
      <c r="B93" s="52"/>
      <c r="O93" s="226"/>
    </row>
    <row r="94" spans="1:15">
      <c r="A94" s="51"/>
      <c r="B94" s="52"/>
      <c r="O94" s="226"/>
    </row>
    <row r="95" spans="1:15">
      <c r="A95" s="51"/>
      <c r="B95" s="52"/>
      <c r="O95" s="226"/>
    </row>
    <row r="96" spans="1:15">
      <c r="A96" s="51"/>
      <c r="B96" s="52"/>
      <c r="O96" s="226"/>
    </row>
    <row r="97" spans="1:15">
      <c r="A97" s="51"/>
      <c r="B97" s="52"/>
      <c r="O97" s="226"/>
    </row>
    <row r="98" spans="1:15">
      <c r="A98" s="51"/>
      <c r="B98" s="52"/>
      <c r="O98" s="226"/>
    </row>
    <row r="99" spans="1:15">
      <c r="B99" s="52"/>
      <c r="O99" s="226"/>
    </row>
    <row r="100" spans="1:15">
      <c r="B100" s="52"/>
      <c r="O100" s="226"/>
    </row>
    <row r="101" spans="1:15">
      <c r="B101" s="52"/>
    </row>
    <row r="102" spans="1:15">
      <c r="B102" s="52"/>
    </row>
  </sheetData>
  <mergeCells count="5">
    <mergeCell ref="F3:L3"/>
    <mergeCell ref="G7:L7"/>
    <mergeCell ref="U28:V28"/>
    <mergeCell ref="B84:N84"/>
    <mergeCell ref="B85:N85"/>
  </mergeCells>
  <pageMargins left="0.25" right="0.25" top="0.75" bottom="0.75" header="0.3" footer="0.3"/>
  <pageSetup orientation="landscape" r:id="rId1"/>
  <headerFooter alignWithMargins="0"/>
  <rowBreaks count="2" manualBreakCount="2">
    <brk id="28" max="16383" man="1"/>
    <brk id="55" max="16383" man="1"/>
  </rowBreaks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7FD7B-4859-4C09-93D2-8BCC8FCCE92D}">
  <dimension ref="A1:AS102"/>
  <sheetViews>
    <sheetView showGridLines="0" topLeftCell="A6" zoomScaleNormal="100" workbookViewId="0">
      <selection activeCell="H19" sqref="H19"/>
    </sheetView>
  </sheetViews>
  <sheetFormatPr defaultColWidth="9.1328125" defaultRowHeight="14.25"/>
  <cols>
    <col min="1" max="1" width="10.3984375" style="42" customWidth="1"/>
    <col min="2" max="2" width="7.59765625" style="42" customWidth="1"/>
    <col min="3" max="3" width="6.3984375" style="42" bestFit="1" customWidth="1"/>
    <col min="4" max="4" width="26.86328125" style="42" bestFit="1" customWidth="1"/>
    <col min="5" max="5" width="6.59765625" style="42" hidden="1" customWidth="1"/>
    <col min="6" max="6" width="2.1328125" style="42" hidden="1" customWidth="1"/>
    <col min="7" max="7" width="8.59765625" style="42" bestFit="1" customWidth="1"/>
    <col min="8" max="8" width="8.1328125" style="42" bestFit="1" customWidth="1"/>
    <col min="9" max="11" width="6.59765625" style="42" customWidth="1"/>
    <col min="12" max="12" width="6.59765625" style="42" bestFit="1" customWidth="1"/>
    <col min="13" max="13" width="6.3984375" style="42" customWidth="1"/>
    <col min="14" max="14" width="46.3984375" style="46" customWidth="1"/>
    <col min="15" max="15" width="23.86328125" style="210" hidden="1" customWidth="1"/>
    <col min="16" max="16" width="14.86328125" style="211" hidden="1" customWidth="1"/>
    <col min="17" max="17" width="11.59765625" style="211" hidden="1" customWidth="1"/>
    <col min="18" max="18" width="7.86328125" style="211" hidden="1" customWidth="1"/>
    <col min="19" max="19" width="24.3984375" style="214" hidden="1" customWidth="1"/>
    <col min="20" max="20" width="32.1328125" style="211" hidden="1" customWidth="1"/>
    <col min="21" max="21" width="12.265625" style="211" hidden="1" customWidth="1"/>
    <col min="22" max="25" width="7.3984375" style="211" hidden="1" customWidth="1"/>
    <col min="26" max="26" width="8.1328125" style="211" hidden="1" customWidth="1"/>
    <col min="27" max="36" width="9.1328125" style="42" hidden="1" customWidth="1"/>
    <col min="37" max="37" width="24.3984375" style="205" hidden="1" customWidth="1"/>
    <col min="38" max="38" width="5.86328125" style="205" hidden="1" customWidth="1"/>
    <col min="39" max="39" width="32.1328125" style="205" hidden="1" customWidth="1"/>
    <col min="40" max="40" width="9.3984375" style="205" hidden="1" customWidth="1"/>
    <col min="41" max="45" width="7.3984375" style="205" hidden="1" customWidth="1"/>
    <col min="46" max="16384" width="9.1328125" style="42"/>
  </cols>
  <sheetData>
    <row r="1" spans="1:45">
      <c r="A1" s="42" t="s">
        <v>310</v>
      </c>
    </row>
    <row r="2" spans="1:45" ht="15.75">
      <c r="A2" s="273" t="s">
        <v>140</v>
      </c>
      <c r="B2" s="274"/>
      <c r="C2" s="274"/>
      <c r="D2" s="274"/>
      <c r="E2" s="275"/>
      <c r="F2" s="41"/>
      <c r="G2" s="41"/>
      <c r="H2" s="41"/>
      <c r="O2" s="210" t="s">
        <v>288</v>
      </c>
      <c r="P2" s="211" t="s">
        <v>320</v>
      </c>
      <c r="Q2" s="212" t="s">
        <v>321</v>
      </c>
      <c r="R2" s="213">
        <v>1.03</v>
      </c>
    </row>
    <row r="3" spans="1:45" ht="15.75">
      <c r="A3" s="246" t="s">
        <v>324</v>
      </c>
      <c r="B3" s="44"/>
      <c r="C3" s="44"/>
      <c r="D3" s="41"/>
      <c r="E3" s="41"/>
      <c r="F3" s="282" t="s">
        <v>80</v>
      </c>
      <c r="G3" s="282"/>
      <c r="H3" s="282"/>
      <c r="I3" s="282"/>
      <c r="J3" s="282"/>
      <c r="K3" s="282"/>
      <c r="L3" s="282"/>
      <c r="M3" s="41"/>
      <c r="N3" s="44"/>
      <c r="U3" s="211">
        <v>3</v>
      </c>
      <c r="V3" s="211">
        <v>4</v>
      </c>
      <c r="W3" s="211">
        <v>5</v>
      </c>
      <c r="X3" s="211">
        <v>6</v>
      </c>
      <c r="Y3" s="211">
        <v>7</v>
      </c>
      <c r="Z3" s="211">
        <v>8</v>
      </c>
    </row>
    <row r="4" spans="1:45">
      <c r="A4" s="247" t="s">
        <v>319</v>
      </c>
      <c r="B4" s="44"/>
      <c r="C4" s="44"/>
      <c r="D4" s="41"/>
      <c r="E4" s="41"/>
      <c r="F4" s="43"/>
      <c r="G4" s="43"/>
      <c r="H4" s="43"/>
      <c r="I4" s="43"/>
      <c r="J4" s="43"/>
      <c r="K4" s="43"/>
      <c r="L4" s="43"/>
      <c r="M4" s="41"/>
      <c r="N4" s="44"/>
    </row>
    <row r="5" spans="1:45">
      <c r="A5" s="50" t="s">
        <v>318</v>
      </c>
      <c r="B5" s="44"/>
      <c r="C5" s="44"/>
      <c r="D5" s="41"/>
      <c r="E5" s="41"/>
      <c r="F5" s="43"/>
      <c r="G5" s="43"/>
      <c r="H5" s="43"/>
      <c r="I5" s="43"/>
      <c r="J5" s="43"/>
      <c r="K5" s="43"/>
      <c r="L5" s="43"/>
      <c r="M5" s="41"/>
      <c r="N5" s="44"/>
    </row>
    <row r="6" spans="1:45" ht="14.65" thickBot="1">
      <c r="A6" s="50"/>
      <c r="B6" s="44"/>
      <c r="C6" s="44"/>
      <c r="D6" s="41"/>
      <c r="E6" s="41"/>
      <c r="F6" s="43"/>
      <c r="G6" s="43"/>
      <c r="H6" s="43"/>
      <c r="I6" s="43"/>
      <c r="J6" s="43"/>
      <c r="K6" s="43"/>
      <c r="L6" s="43"/>
      <c r="M6" s="41"/>
      <c r="N6" s="44"/>
      <c r="O6" s="222" t="s">
        <v>301</v>
      </c>
      <c r="AK6" s="248" t="s">
        <v>302</v>
      </c>
    </row>
    <row r="7" spans="1:45" ht="14.65" thickBot="1">
      <c r="A7" s="43"/>
      <c r="B7" s="44"/>
      <c r="C7" s="44"/>
      <c r="D7" s="41"/>
      <c r="E7" s="41"/>
      <c r="F7" s="43"/>
      <c r="G7" s="283" t="s">
        <v>300</v>
      </c>
      <c r="H7" s="284"/>
      <c r="I7" s="284"/>
      <c r="J7" s="284"/>
      <c r="K7" s="284"/>
      <c r="L7" s="285"/>
      <c r="M7" s="41"/>
      <c r="N7" s="44"/>
    </row>
    <row r="8" spans="1:45" ht="30" customHeight="1" thickBot="1">
      <c r="A8" s="175" t="s">
        <v>137</v>
      </c>
      <c r="B8" s="176" t="s">
        <v>114</v>
      </c>
      <c r="C8" s="176" t="s">
        <v>138</v>
      </c>
      <c r="D8" s="177" t="s">
        <v>4</v>
      </c>
      <c r="E8" s="177" t="s">
        <v>5</v>
      </c>
      <c r="F8" s="249" t="s">
        <v>6</v>
      </c>
      <c r="G8" s="255" t="s">
        <v>7</v>
      </c>
      <c r="H8" s="256" t="s">
        <v>8</v>
      </c>
      <c r="I8" s="256" t="s">
        <v>9</v>
      </c>
      <c r="J8" s="256" t="s">
        <v>10</v>
      </c>
      <c r="K8" s="256" t="s">
        <v>11</v>
      </c>
      <c r="L8" s="257" t="s">
        <v>12</v>
      </c>
      <c r="M8" s="45"/>
      <c r="N8" s="42"/>
      <c r="O8" s="215" t="s">
        <v>285</v>
      </c>
      <c r="P8" s="215" t="s">
        <v>277</v>
      </c>
      <c r="Q8" s="215" t="s">
        <v>138</v>
      </c>
      <c r="R8" s="215" t="s">
        <v>286</v>
      </c>
      <c r="S8" s="215" t="s">
        <v>137</v>
      </c>
      <c r="T8" s="216" t="s">
        <v>279</v>
      </c>
      <c r="U8" s="216" t="s">
        <v>7</v>
      </c>
      <c r="V8" s="216" t="s">
        <v>8</v>
      </c>
      <c r="W8" s="216" t="s">
        <v>9</v>
      </c>
      <c r="X8" s="216" t="s">
        <v>10</v>
      </c>
      <c r="Y8" s="216" t="s">
        <v>11</v>
      </c>
      <c r="Z8" s="216" t="s">
        <v>12</v>
      </c>
      <c r="AK8" s="204" t="s">
        <v>137</v>
      </c>
      <c r="AL8" s="164" t="s">
        <v>138</v>
      </c>
      <c r="AM8" s="161" t="s">
        <v>279</v>
      </c>
      <c r="AN8" s="161" t="s">
        <v>7</v>
      </c>
      <c r="AO8" s="161" t="s">
        <v>8</v>
      </c>
      <c r="AP8" s="161" t="s">
        <v>9</v>
      </c>
      <c r="AQ8" s="161" t="s">
        <v>10</v>
      </c>
      <c r="AR8" s="161" t="s">
        <v>11</v>
      </c>
      <c r="AS8" s="161" t="s">
        <v>12</v>
      </c>
    </row>
    <row r="9" spans="1:45" ht="18.75" customHeight="1">
      <c r="A9" s="179" t="s">
        <v>157</v>
      </c>
      <c r="B9" s="173" t="s">
        <v>115</v>
      </c>
      <c r="C9" s="173" t="str">
        <f>Q9</f>
        <v>CFG 5</v>
      </c>
      <c r="D9" s="174" t="s">
        <v>84</v>
      </c>
      <c r="E9" s="171"/>
      <c r="F9" s="250" t="s">
        <v>17</v>
      </c>
      <c r="G9" s="258">
        <f ca="1">U9*$O9</f>
        <v>2309.9906563959726</v>
      </c>
      <c r="H9" s="259"/>
      <c r="I9" s="259"/>
      <c r="J9" s="259"/>
      <c r="K9" s="259"/>
      <c r="L9" s="260"/>
      <c r="M9" s="45"/>
      <c r="N9" s="42"/>
      <c r="O9" s="217">
        <v>80</v>
      </c>
      <c r="P9" s="218" t="s">
        <v>143</v>
      </c>
      <c r="Q9" s="219" t="s">
        <v>156</v>
      </c>
      <c r="R9" s="219" t="s">
        <v>287</v>
      </c>
      <c r="S9" s="219" t="str">
        <f t="shared" ref="S9:S22" si="0">A9</f>
        <v>04440C</v>
      </c>
      <c r="T9" s="217" t="s">
        <v>84</v>
      </c>
      <c r="U9" s="276">
        <f ca="1">IFERROR('January 1, 2027'!U9*IncreasePerc2028,"")</f>
        <v>28.874883204949658</v>
      </c>
      <c r="V9" s="276">
        <f>IFERROR('January 1, 2027'!V9*IncreasePerc2028,"")</f>
        <v>0</v>
      </c>
      <c r="W9" s="276">
        <f>IFERROR('January 1, 2027'!W9*IncreasePerc2028,"")</f>
        <v>0</v>
      </c>
      <c r="X9" s="276">
        <f>IFERROR('January 1, 2027'!X9*IncreasePerc2028,"")</f>
        <v>0</v>
      </c>
      <c r="Y9" s="276"/>
      <c r="Z9" s="276"/>
      <c r="AA9" s="279">
        <f ca="1">U9/'January 1, 2027'!U9</f>
        <v>1.03</v>
      </c>
      <c r="AB9" s="279"/>
      <c r="AC9" s="279"/>
      <c r="AD9" s="279"/>
      <c r="AE9" s="279"/>
      <c r="AF9" s="279"/>
      <c r="AK9" s="165" t="str">
        <f>S9</f>
        <v>04440C</v>
      </c>
      <c r="AL9" s="165" t="str">
        <f t="shared" ref="AL9:AL22" si="1">C9</f>
        <v>CFG 5</v>
      </c>
      <c r="AM9" s="165" t="str">
        <f>T9</f>
        <v>Fire Cadet</v>
      </c>
      <c r="AN9" s="206">
        <f ca="1">ROUND(U9,3)</f>
        <v>28.875</v>
      </c>
      <c r="AO9" s="165"/>
      <c r="AP9" s="165"/>
      <c r="AQ9" s="165"/>
      <c r="AR9" s="165"/>
      <c r="AS9" s="165"/>
    </row>
    <row r="10" spans="1:45" ht="18.75" customHeight="1">
      <c r="A10" s="180" t="s">
        <v>15</v>
      </c>
      <c r="B10" s="63" t="s">
        <v>115</v>
      </c>
      <c r="C10" s="173" t="str">
        <f t="shared" ref="C10:C22" si="2">Q10</f>
        <v>CFH 1</v>
      </c>
      <c r="D10" s="59" t="s">
        <v>16</v>
      </c>
      <c r="E10" s="59">
        <v>353</v>
      </c>
      <c r="F10" s="251" t="s">
        <v>17</v>
      </c>
      <c r="G10" s="253">
        <f ca="1">U10*$O10</f>
        <v>3299.9292442393325</v>
      </c>
      <c r="H10" s="188">
        <f t="shared" ref="H10:L22" ca="1" si="3">V10*$O10</f>
        <v>3431.9151331636986</v>
      </c>
      <c r="I10" s="188">
        <f t="shared" ca="1" si="3"/>
        <v>3569.2594235614897</v>
      </c>
      <c r="J10" s="188">
        <f t="shared" ca="1" si="3"/>
        <v>3711.962115432706</v>
      </c>
      <c r="K10" s="188">
        <f t="shared" ca="1" si="3"/>
        <v>3860.4462404726173</v>
      </c>
      <c r="L10" s="189">
        <f t="shared" ca="1" si="3"/>
        <v>4014.8528092463152</v>
      </c>
      <c r="M10" s="47"/>
      <c r="N10" s="42"/>
      <c r="O10" s="217">
        <v>109.2</v>
      </c>
      <c r="P10" s="219" t="s">
        <v>144</v>
      </c>
      <c r="Q10" s="219" t="s">
        <v>235</v>
      </c>
      <c r="R10" s="219" t="s">
        <v>287</v>
      </c>
      <c r="S10" s="219" t="str">
        <f t="shared" si="0"/>
        <v>04450C</v>
      </c>
      <c r="T10" s="217" t="s">
        <v>16</v>
      </c>
      <c r="U10" s="276">
        <f ca="1">IFERROR('January 1, 2027'!U10*IncreasePerc2028,"")</f>
        <v>30.219132273253962</v>
      </c>
      <c r="V10" s="276">
        <f ca="1">IFERROR('January 1, 2027'!V10*IncreasePerc2028,"")</f>
        <v>31.427794259740828</v>
      </c>
      <c r="W10" s="276">
        <f ca="1">IFERROR('January 1, 2027'!W10*IncreasePerc2028,"")</f>
        <v>32.6855258567902</v>
      </c>
      <c r="X10" s="276">
        <f ca="1">IFERROR('January 1, 2027'!X10*IncreasePerc2028,"")</f>
        <v>33.992327064402069</v>
      </c>
      <c r="Y10" s="276">
        <f ca="1">IFERROR('January 1, 2027'!Y10*IncreasePerc2028,"")</f>
        <v>35.352071799199791</v>
      </c>
      <c r="Z10" s="276">
        <f ca="1">IFERROR('January 1, 2027'!Z10*IncreasePerc2028,"")</f>
        <v>36.766051366724497</v>
      </c>
      <c r="AA10" s="279">
        <f ca="1">U10/'January 1, 2027'!U10</f>
        <v>1.03</v>
      </c>
      <c r="AB10" s="279">
        <f ca="1">V10/'January 1, 2027'!V10</f>
        <v>1.03</v>
      </c>
      <c r="AC10" s="279">
        <f ca="1">W10/'January 1, 2027'!W10</f>
        <v>1.03</v>
      </c>
      <c r="AD10" s="279">
        <f ca="1">X10/'January 1, 2027'!X10</f>
        <v>1.03</v>
      </c>
      <c r="AE10" s="279">
        <f ca="1">Y10/'January 1, 2027'!Y10</f>
        <v>1.03</v>
      </c>
      <c r="AF10" s="279">
        <f ca="1">Z10/'January 1, 2027'!Z10</f>
        <v>1.03</v>
      </c>
      <c r="AG10" s="279"/>
      <c r="AH10" s="279"/>
      <c r="AI10" s="279"/>
      <c r="AK10" s="165" t="str">
        <f>S10</f>
        <v>04450C</v>
      </c>
      <c r="AL10" s="165" t="str">
        <f t="shared" si="1"/>
        <v>CFH 1</v>
      </c>
      <c r="AM10" s="165" t="str">
        <f>T10</f>
        <v>Fire Fighter</v>
      </c>
      <c r="AN10" s="206">
        <f ca="1">ROUND(U10,3)</f>
        <v>30.219000000000001</v>
      </c>
      <c r="AO10" s="206">
        <f t="shared" ref="AO10:AS23" ca="1" si="4">ROUND(V10,3)</f>
        <v>31.428000000000001</v>
      </c>
      <c r="AP10" s="206">
        <f t="shared" ca="1" si="4"/>
        <v>32.686</v>
      </c>
      <c r="AQ10" s="206">
        <f t="shared" ca="1" si="4"/>
        <v>33.991999999999997</v>
      </c>
      <c r="AR10" s="206">
        <f t="shared" ca="1" si="4"/>
        <v>35.351999999999997</v>
      </c>
      <c r="AS10" s="206">
        <f t="shared" ca="1" si="4"/>
        <v>36.765999999999998</v>
      </c>
    </row>
    <row r="11" spans="1:45" ht="18.75" customHeight="1">
      <c r="A11" s="180" t="s">
        <v>19</v>
      </c>
      <c r="B11" s="63" t="s">
        <v>115</v>
      </c>
      <c r="C11" s="173" t="str">
        <f t="shared" si="2"/>
        <v>CFI 1</v>
      </c>
      <c r="D11" s="59" t="s">
        <v>20</v>
      </c>
      <c r="E11" s="59">
        <v>353</v>
      </c>
      <c r="F11" s="251" t="s">
        <v>17</v>
      </c>
      <c r="G11" s="253">
        <f t="shared" ref="G11:G22" ca="1" si="5">U11*$O11</f>
        <v>3299.9571364390208</v>
      </c>
      <c r="H11" s="188">
        <f t="shared" ca="1" si="3"/>
        <v>3431.9802149629704</v>
      </c>
      <c r="I11" s="188">
        <f t="shared" ca="1" si="3"/>
        <v>3569.2718200946842</v>
      </c>
      <c r="J11" s="188">
        <f t="shared" ca="1" si="3"/>
        <v>3712.03856072074</v>
      </c>
      <c r="K11" s="188">
        <f t="shared" ca="1" si="3"/>
        <v>3860.4870457277166</v>
      </c>
      <c r="L11" s="189">
        <f t="shared" ca="1" si="3"/>
        <v>4014.927188445482</v>
      </c>
      <c r="M11" s="47"/>
      <c r="N11" s="42"/>
      <c r="O11" s="217">
        <v>80</v>
      </c>
      <c r="P11" s="219" t="s">
        <v>143</v>
      </c>
      <c r="Q11" s="219" t="s">
        <v>234</v>
      </c>
      <c r="R11" s="219" t="s">
        <v>287</v>
      </c>
      <c r="S11" s="219" t="str">
        <f t="shared" si="0"/>
        <v>04451C</v>
      </c>
      <c r="T11" s="217" t="s">
        <v>20</v>
      </c>
      <c r="U11" s="276">
        <f ca="1">IFERROR('January 1, 2027'!U11*IncreasePerc2028,"")</f>
        <v>41.249464205487762</v>
      </c>
      <c r="V11" s="276">
        <f ca="1">IFERROR('January 1, 2027'!V11*IncreasePerc2028,"")</f>
        <v>42.899752687037129</v>
      </c>
      <c r="W11" s="276">
        <f ca="1">IFERROR('January 1, 2027'!W11*IncreasePerc2028,"")</f>
        <v>44.615897751183553</v>
      </c>
      <c r="X11" s="276">
        <f ca="1">IFERROR('January 1, 2027'!X11*IncreasePerc2028,"")</f>
        <v>46.400482009009252</v>
      </c>
      <c r="Y11" s="276">
        <f ca="1">IFERROR('January 1, 2027'!Y11*IncreasePerc2028,"")</f>
        <v>48.256088071596459</v>
      </c>
      <c r="Z11" s="276">
        <f ca="1">IFERROR('January 1, 2027'!Z11*IncreasePerc2028,"")</f>
        <v>50.186589855568528</v>
      </c>
      <c r="AA11" s="279">
        <f ca="1">U11/'January 1, 2027'!U11</f>
        <v>1.03</v>
      </c>
      <c r="AB11" s="279">
        <f ca="1">V11/'January 1, 2027'!V11</f>
        <v>1.03</v>
      </c>
      <c r="AC11" s="279">
        <f ca="1">W11/'January 1, 2027'!W11</f>
        <v>1.03</v>
      </c>
      <c r="AD11" s="279">
        <f ca="1">X11/'January 1, 2027'!X11</f>
        <v>1.03</v>
      </c>
      <c r="AE11" s="279">
        <f ca="1">Y11/'January 1, 2027'!Y11</f>
        <v>1.03</v>
      </c>
      <c r="AF11" s="279">
        <f ca="1">Z11/'January 1, 2027'!Z11</f>
        <v>1.03</v>
      </c>
      <c r="AK11" s="165" t="str">
        <f t="shared" ref="AK11:AK23" si="6">S11</f>
        <v>04451C</v>
      </c>
      <c r="AL11" s="165" t="str">
        <f t="shared" si="1"/>
        <v>CFI 1</v>
      </c>
      <c r="AM11" s="165" t="str">
        <f t="shared" ref="AM11:AM23" si="7">T11</f>
        <v>Fire Fighter (40 hrs.)</v>
      </c>
      <c r="AN11" s="206">
        <f t="shared" ref="AN11:AN23" ca="1" si="8">ROUND(U11,3)</f>
        <v>41.249000000000002</v>
      </c>
      <c r="AO11" s="206">
        <f t="shared" ca="1" si="4"/>
        <v>42.9</v>
      </c>
      <c r="AP11" s="206">
        <f t="shared" ca="1" si="4"/>
        <v>44.616</v>
      </c>
      <c r="AQ11" s="206">
        <f t="shared" ca="1" si="4"/>
        <v>46.4</v>
      </c>
      <c r="AR11" s="206">
        <f t="shared" ca="1" si="4"/>
        <v>48.256</v>
      </c>
      <c r="AS11" s="206">
        <f t="shared" ca="1" si="4"/>
        <v>50.186999999999998</v>
      </c>
    </row>
    <row r="12" spans="1:45" ht="18.75" customHeight="1">
      <c r="A12" s="180" t="s">
        <v>21</v>
      </c>
      <c r="B12" s="63" t="s">
        <v>115</v>
      </c>
      <c r="C12" s="173" t="str">
        <f t="shared" si="2"/>
        <v>CFF 1</v>
      </c>
      <c r="D12" s="59" t="s">
        <v>22</v>
      </c>
      <c r="E12" s="59"/>
      <c r="F12" s="251" t="s">
        <v>17</v>
      </c>
      <c r="G12" s="253">
        <f t="shared" ca="1" si="5"/>
        <v>3299.9292442393325</v>
      </c>
      <c r="H12" s="188">
        <f t="shared" ca="1" si="3"/>
        <v>3431.9151331636986</v>
      </c>
      <c r="I12" s="188">
        <f t="shared" ca="1" si="3"/>
        <v>3569.2594235614897</v>
      </c>
      <c r="J12" s="188">
        <f t="shared" ca="1" si="3"/>
        <v>3711.962115432706</v>
      </c>
      <c r="K12" s="188">
        <f t="shared" ca="1" si="3"/>
        <v>3860.4462404726173</v>
      </c>
      <c r="L12" s="189">
        <f t="shared" ca="1" si="3"/>
        <v>4014.8528092463152</v>
      </c>
      <c r="M12" s="47"/>
      <c r="N12" s="42"/>
      <c r="O12" s="217">
        <v>109.2</v>
      </c>
      <c r="P12" s="219" t="s">
        <v>144</v>
      </c>
      <c r="Q12" s="219" t="s">
        <v>148</v>
      </c>
      <c r="R12" s="219" t="s">
        <v>287</v>
      </c>
      <c r="S12" s="219" t="str">
        <f t="shared" si="0"/>
        <v>04388C</v>
      </c>
      <c r="T12" s="217" t="s">
        <v>22</v>
      </c>
      <c r="U12" s="276">
        <f ca="1">IFERROR('January 1, 2027'!U12*IncreasePerc2028,"")</f>
        <v>30.219132273253962</v>
      </c>
      <c r="V12" s="276">
        <f ca="1">IFERROR('January 1, 2027'!V12*IncreasePerc2028,"")</f>
        <v>31.427794259740828</v>
      </c>
      <c r="W12" s="276">
        <f ca="1">IFERROR('January 1, 2027'!W12*IncreasePerc2028,"")</f>
        <v>32.6855258567902</v>
      </c>
      <c r="X12" s="276">
        <f ca="1">IFERROR('January 1, 2027'!X12*IncreasePerc2028,"")</f>
        <v>33.992327064402069</v>
      </c>
      <c r="Y12" s="276">
        <f ca="1">IFERROR('January 1, 2027'!Y12*IncreasePerc2028,"")</f>
        <v>35.352071799199791</v>
      </c>
      <c r="Z12" s="276">
        <f ca="1">IFERROR('January 1, 2027'!Z12*IncreasePerc2028,"")</f>
        <v>36.766051366724497</v>
      </c>
      <c r="AA12" s="279">
        <f ca="1">U12/'January 1, 2027'!U12</f>
        <v>1.03</v>
      </c>
      <c r="AB12" s="279">
        <f ca="1">V12/'January 1, 2027'!V12</f>
        <v>1.03</v>
      </c>
      <c r="AC12" s="279">
        <f ca="1">W12/'January 1, 2027'!W12</f>
        <v>1.03</v>
      </c>
      <c r="AD12" s="279">
        <f ca="1">X12/'January 1, 2027'!X12</f>
        <v>1.03</v>
      </c>
      <c r="AE12" s="279">
        <f ca="1">Y12/'January 1, 2027'!Y12</f>
        <v>1.03</v>
      </c>
      <c r="AF12" s="279">
        <f ca="1">Z12/'January 1, 2027'!Z12</f>
        <v>1.03</v>
      </c>
      <c r="AK12" s="165" t="str">
        <f t="shared" si="6"/>
        <v>04388C</v>
      </c>
      <c r="AL12" s="165" t="str">
        <f t="shared" si="1"/>
        <v>CFF 1</v>
      </c>
      <c r="AM12" s="165" t="str">
        <f t="shared" si="7"/>
        <v>Fire Inspector 1</v>
      </c>
      <c r="AN12" s="206">
        <f t="shared" ca="1" si="8"/>
        <v>30.219000000000001</v>
      </c>
      <c r="AO12" s="206">
        <f t="shared" ca="1" si="4"/>
        <v>31.428000000000001</v>
      </c>
      <c r="AP12" s="206">
        <f t="shared" ca="1" si="4"/>
        <v>32.686</v>
      </c>
      <c r="AQ12" s="206">
        <f t="shared" ca="1" si="4"/>
        <v>33.991999999999997</v>
      </c>
      <c r="AR12" s="206">
        <f t="shared" ca="1" si="4"/>
        <v>35.351999999999997</v>
      </c>
      <c r="AS12" s="206">
        <f t="shared" ca="1" si="4"/>
        <v>36.765999999999998</v>
      </c>
    </row>
    <row r="13" spans="1:45" ht="18.75" customHeight="1">
      <c r="A13" s="180" t="s">
        <v>23</v>
      </c>
      <c r="B13" s="63" t="s">
        <v>115</v>
      </c>
      <c r="C13" s="173" t="str">
        <f t="shared" si="2"/>
        <v>CFF 2</v>
      </c>
      <c r="D13" s="59" t="s">
        <v>24</v>
      </c>
      <c r="E13" s="59"/>
      <c r="F13" s="251" t="s">
        <v>17</v>
      </c>
      <c r="G13" s="253">
        <f t="shared" ca="1" si="5"/>
        <v>4111.1700757311319</v>
      </c>
      <c r="H13" s="188">
        <f t="shared" ca="1" si="3"/>
        <v>4272.5841645369819</v>
      </c>
      <c r="I13" s="188">
        <f t="shared" ca="1" si="3"/>
        <v>4509.6588821475989</v>
      </c>
      <c r="J13" s="188"/>
      <c r="K13" s="188"/>
      <c r="L13" s="189"/>
      <c r="M13" s="47"/>
      <c r="N13" s="42"/>
      <c r="O13" s="217">
        <v>109.2</v>
      </c>
      <c r="P13" s="219" t="s">
        <v>144</v>
      </c>
      <c r="Q13" s="219" t="s">
        <v>150</v>
      </c>
      <c r="R13" s="219" t="s">
        <v>287</v>
      </c>
      <c r="S13" s="219" t="str">
        <f t="shared" si="0"/>
        <v>04420C</v>
      </c>
      <c r="T13" s="278" t="s">
        <v>24</v>
      </c>
      <c r="U13" s="276">
        <f ca="1">IFERROR('January 1, 2027'!U13*IncreasePerc2028,"")</f>
        <v>37.648077616585454</v>
      </c>
      <c r="V13" s="276">
        <f ca="1">IFERROR('January 1, 2027'!V13*IncreasePerc2028,"")</f>
        <v>39.126228612976021</v>
      </c>
      <c r="W13" s="276">
        <f ca="1">IFERROR('January 1, 2027'!W13*IncreasePerc2028,"")</f>
        <v>41.297242510509143</v>
      </c>
      <c r="X13" s="276"/>
      <c r="Y13" s="276"/>
      <c r="Z13" s="276"/>
      <c r="AA13" s="279">
        <f ca="1">U13/'January 1, 2027'!U13</f>
        <v>1.03</v>
      </c>
      <c r="AB13" s="279">
        <f ca="1">V13/'January 1, 2027'!V13</f>
        <v>1.03</v>
      </c>
      <c r="AC13" s="279">
        <f ca="1">W13/'January 1, 2027'!W13</f>
        <v>1.03</v>
      </c>
      <c r="AD13" s="279"/>
      <c r="AE13" s="279"/>
      <c r="AF13" s="279"/>
      <c r="AK13" s="165" t="str">
        <f t="shared" si="6"/>
        <v>04420C</v>
      </c>
      <c r="AL13" s="165" t="str">
        <f t="shared" si="1"/>
        <v>CFF 2</v>
      </c>
      <c r="AM13" s="165" t="str">
        <f t="shared" si="7"/>
        <v>Fire Motor Operator</v>
      </c>
      <c r="AN13" s="206">
        <f t="shared" ca="1" si="8"/>
        <v>37.648000000000003</v>
      </c>
      <c r="AO13" s="206">
        <f t="shared" ca="1" si="4"/>
        <v>39.125999999999998</v>
      </c>
      <c r="AP13" s="206">
        <f t="shared" ca="1" si="4"/>
        <v>41.296999999999997</v>
      </c>
      <c r="AQ13" s="165"/>
      <c r="AR13" s="165"/>
      <c r="AS13" s="165"/>
    </row>
    <row r="14" spans="1:45" ht="18.75" customHeight="1">
      <c r="A14" s="180" t="s">
        <v>195</v>
      </c>
      <c r="B14" s="63" t="s">
        <v>115</v>
      </c>
      <c r="C14" s="173" t="str">
        <f t="shared" si="2"/>
        <v>CFG 2</v>
      </c>
      <c r="D14" s="59" t="s">
        <v>26</v>
      </c>
      <c r="E14" s="59"/>
      <c r="F14" s="251" t="s">
        <v>17</v>
      </c>
      <c r="G14" s="253">
        <f t="shared" ca="1" si="5"/>
        <v>4111.2064130690569</v>
      </c>
      <c r="H14" s="188">
        <f t="shared" ca="1" si="3"/>
        <v>4272.6480144307679</v>
      </c>
      <c r="I14" s="188">
        <f t="shared" ca="1" si="3"/>
        <v>4509.6521673587831</v>
      </c>
      <c r="J14" s="188"/>
      <c r="K14" s="188"/>
      <c r="L14" s="189"/>
      <c r="M14" s="47"/>
      <c r="N14" s="42"/>
      <c r="O14" s="217">
        <v>80</v>
      </c>
      <c r="P14" s="219" t="s">
        <v>143</v>
      </c>
      <c r="Q14" s="219" t="s">
        <v>151</v>
      </c>
      <c r="R14" s="219" t="s">
        <v>287</v>
      </c>
      <c r="S14" s="219" t="str">
        <f t="shared" si="0"/>
        <v>04421C</v>
      </c>
      <c r="T14" s="278" t="s">
        <v>26</v>
      </c>
      <c r="U14" s="276">
        <f ca="1">IFERROR('January 1, 2027'!U14*IncreasePerc2028,"")</f>
        <v>51.390080163363216</v>
      </c>
      <c r="V14" s="276">
        <f ca="1">IFERROR('January 1, 2027'!V14*IncreasePerc2028,"")</f>
        <v>53.408100180384601</v>
      </c>
      <c r="W14" s="276">
        <f ca="1">IFERROR('January 1, 2027'!W14*IncreasePerc2028,"")</f>
        <v>56.370652091984788</v>
      </c>
      <c r="X14" s="276"/>
      <c r="Y14" s="276"/>
      <c r="Z14" s="276"/>
      <c r="AA14" s="279">
        <f ca="1">U14/'January 1, 2027'!U14</f>
        <v>1.03</v>
      </c>
      <c r="AB14" s="279">
        <f ca="1">V14/'January 1, 2027'!V14</f>
        <v>1.03</v>
      </c>
      <c r="AC14" s="279">
        <f ca="1">W14/'January 1, 2027'!W14</f>
        <v>1.03</v>
      </c>
      <c r="AD14" s="279"/>
      <c r="AE14" s="279"/>
      <c r="AF14" s="279"/>
      <c r="AK14" s="165" t="str">
        <f t="shared" si="6"/>
        <v>04421C</v>
      </c>
      <c r="AL14" s="165" t="str">
        <f t="shared" si="1"/>
        <v>CFG 2</v>
      </c>
      <c r="AM14" s="165" t="str">
        <f t="shared" si="7"/>
        <v>Fire Motor Operator (40 hrs.)</v>
      </c>
      <c r="AN14" s="206">
        <f t="shared" ca="1" si="8"/>
        <v>51.39</v>
      </c>
      <c r="AO14" s="206">
        <f t="shared" ca="1" si="4"/>
        <v>53.408000000000001</v>
      </c>
      <c r="AP14" s="206">
        <f t="shared" ca="1" si="4"/>
        <v>56.371000000000002</v>
      </c>
      <c r="AQ14" s="165"/>
      <c r="AR14" s="165"/>
      <c r="AS14" s="165"/>
    </row>
    <row r="15" spans="1:45" ht="18.75" customHeight="1">
      <c r="A15" s="180" t="s">
        <v>27</v>
      </c>
      <c r="B15" s="63" t="s">
        <v>115</v>
      </c>
      <c r="C15" s="173" t="str">
        <f t="shared" si="2"/>
        <v>CFF 2</v>
      </c>
      <c r="D15" s="59" t="s">
        <v>28</v>
      </c>
      <c r="E15" s="59"/>
      <c r="F15" s="251" t="s">
        <v>17</v>
      </c>
      <c r="G15" s="253">
        <f t="shared" ca="1" si="5"/>
        <v>4111.1700757311319</v>
      </c>
      <c r="H15" s="188">
        <f t="shared" ca="1" si="3"/>
        <v>4272.5841645369819</v>
      </c>
      <c r="I15" s="188">
        <f t="shared" ca="1" si="3"/>
        <v>4509.6588821475989</v>
      </c>
      <c r="J15" s="188"/>
      <c r="K15" s="188"/>
      <c r="L15" s="189"/>
      <c r="M15" s="47"/>
      <c r="N15" s="42"/>
      <c r="O15" s="217">
        <v>109.2</v>
      </c>
      <c r="P15" s="219" t="s">
        <v>144</v>
      </c>
      <c r="Q15" s="219" t="s">
        <v>150</v>
      </c>
      <c r="R15" s="219" t="s">
        <v>287</v>
      </c>
      <c r="S15" s="219" t="str">
        <f t="shared" si="0"/>
        <v>04389C</v>
      </c>
      <c r="T15" s="278" t="s">
        <v>28</v>
      </c>
      <c r="U15" s="276">
        <f ca="1">IFERROR('January 1, 2027'!U15*IncreasePerc2028,"")</f>
        <v>37.648077616585454</v>
      </c>
      <c r="V15" s="276">
        <f ca="1">IFERROR('January 1, 2027'!V15*IncreasePerc2028,"")</f>
        <v>39.126228612976021</v>
      </c>
      <c r="W15" s="276">
        <f ca="1">IFERROR('January 1, 2027'!W15*IncreasePerc2028,"")</f>
        <v>41.297242510509143</v>
      </c>
      <c r="X15" s="276"/>
      <c r="Y15" s="276"/>
      <c r="Z15" s="276"/>
      <c r="AA15" s="279">
        <f ca="1">U15/'January 1, 2027'!U15</f>
        <v>1.03</v>
      </c>
      <c r="AB15" s="279">
        <f ca="1">V15/'January 1, 2027'!V15</f>
        <v>1.03</v>
      </c>
      <c r="AC15" s="279">
        <f ca="1">W15/'January 1, 2027'!W15</f>
        <v>1.03</v>
      </c>
      <c r="AD15" s="279"/>
      <c r="AE15" s="279"/>
      <c r="AF15" s="279"/>
      <c r="AK15" s="165" t="str">
        <f t="shared" si="6"/>
        <v>04389C</v>
      </c>
      <c r="AL15" s="165" t="str">
        <f t="shared" si="1"/>
        <v>CFF 2</v>
      </c>
      <c r="AM15" s="165" t="str">
        <f t="shared" si="7"/>
        <v>Fire Inspector 2</v>
      </c>
      <c r="AN15" s="206">
        <f t="shared" ca="1" si="8"/>
        <v>37.648000000000003</v>
      </c>
      <c r="AO15" s="206">
        <f t="shared" ca="1" si="4"/>
        <v>39.125999999999998</v>
      </c>
      <c r="AP15" s="206">
        <f t="shared" ca="1" si="4"/>
        <v>41.296999999999997</v>
      </c>
      <c r="AQ15" s="165"/>
      <c r="AR15" s="165"/>
      <c r="AS15" s="165"/>
    </row>
    <row r="16" spans="1:45" ht="18.75" customHeight="1">
      <c r="A16" s="180" t="s">
        <v>29</v>
      </c>
      <c r="B16" s="63" t="s">
        <v>115</v>
      </c>
      <c r="C16" s="173" t="str">
        <f t="shared" si="2"/>
        <v>CFF 3</v>
      </c>
      <c r="D16" s="59" t="s">
        <v>30</v>
      </c>
      <c r="E16" s="59"/>
      <c r="F16" s="251" t="s">
        <v>17</v>
      </c>
      <c r="G16" s="253">
        <f t="shared" ca="1" si="5"/>
        <v>4636.850411858899</v>
      </c>
      <c r="H16" s="188">
        <f t="shared" ca="1" si="3"/>
        <v>4820.7281887364343</v>
      </c>
      <c r="I16" s="188">
        <f t="shared" ca="1" si="3"/>
        <v>5115.722290904997</v>
      </c>
      <c r="J16" s="188"/>
      <c r="K16" s="188"/>
      <c r="L16" s="189"/>
      <c r="M16" s="47"/>
      <c r="N16" s="42"/>
      <c r="O16" s="217">
        <v>109.2</v>
      </c>
      <c r="P16" s="219" t="s">
        <v>144</v>
      </c>
      <c r="Q16" s="219" t="s">
        <v>152</v>
      </c>
      <c r="R16" s="219" t="s">
        <v>287</v>
      </c>
      <c r="S16" s="219" t="str">
        <f t="shared" si="0"/>
        <v>04370C</v>
      </c>
      <c r="T16" s="217" t="s">
        <v>30</v>
      </c>
      <c r="U16" s="276">
        <f ca="1">IFERROR('January 1, 2027'!U16*IncreasePerc2028,"")</f>
        <v>42.462000108597977</v>
      </c>
      <c r="V16" s="276">
        <f ca="1">IFERROR('January 1, 2027'!V16*IncreasePerc2028,"")</f>
        <v>44.145862534216434</v>
      </c>
      <c r="W16" s="276">
        <f ca="1">IFERROR('January 1, 2027'!W16*IncreasePerc2028,"")</f>
        <v>46.847273726236232</v>
      </c>
      <c r="X16" s="276"/>
      <c r="Y16" s="276"/>
      <c r="Z16" s="276"/>
      <c r="AA16" s="279">
        <f ca="1">U16/'January 1, 2027'!U16</f>
        <v>1.03</v>
      </c>
      <c r="AB16" s="279">
        <f ca="1">V16/'January 1, 2027'!V16</f>
        <v>1.03</v>
      </c>
      <c r="AC16" s="279">
        <f ca="1">W16/'January 1, 2027'!W16</f>
        <v>1.03</v>
      </c>
      <c r="AD16" s="279"/>
      <c r="AE16" s="279"/>
      <c r="AF16" s="279"/>
      <c r="AK16" s="165" t="str">
        <f t="shared" si="6"/>
        <v>04370C</v>
      </c>
      <c r="AL16" s="165" t="str">
        <f t="shared" si="1"/>
        <v>CFF 3</v>
      </c>
      <c r="AM16" s="165" t="str">
        <f t="shared" si="7"/>
        <v>Fire Captain</v>
      </c>
      <c r="AN16" s="206">
        <f t="shared" ca="1" si="8"/>
        <v>42.462000000000003</v>
      </c>
      <c r="AO16" s="206">
        <f t="shared" ca="1" si="4"/>
        <v>44.146000000000001</v>
      </c>
      <c r="AP16" s="206">
        <f t="shared" ca="1" si="4"/>
        <v>46.847000000000001</v>
      </c>
      <c r="AQ16" s="165"/>
      <c r="AR16" s="165"/>
      <c r="AS16" s="165"/>
    </row>
    <row r="17" spans="1:45" ht="18.75" customHeight="1">
      <c r="A17" s="180" t="s">
        <v>31</v>
      </c>
      <c r="B17" s="63" t="s">
        <v>115</v>
      </c>
      <c r="C17" s="173" t="str">
        <f t="shared" si="2"/>
        <v>CFG 3</v>
      </c>
      <c r="D17" s="59" t="s">
        <v>32</v>
      </c>
      <c r="E17" s="59"/>
      <c r="F17" s="251" t="s">
        <v>17</v>
      </c>
      <c r="G17" s="253">
        <f t="shared" ca="1" si="5"/>
        <v>4636.8199370481288</v>
      </c>
      <c r="H17" s="188">
        <f t="shared" ca="1" si="3"/>
        <v>4820.7018461033958</v>
      </c>
      <c r="I17" s="188">
        <f t="shared" ca="1" si="3"/>
        <v>5115.7393361381392</v>
      </c>
      <c r="J17" s="188"/>
      <c r="K17" s="188"/>
      <c r="L17" s="189"/>
      <c r="M17" s="47"/>
      <c r="N17" s="42"/>
      <c r="O17" s="217">
        <v>80</v>
      </c>
      <c r="P17" s="219" t="s">
        <v>143</v>
      </c>
      <c r="Q17" s="219" t="s">
        <v>153</v>
      </c>
      <c r="R17" s="219" t="s">
        <v>287</v>
      </c>
      <c r="S17" s="219" t="str">
        <f t="shared" si="0"/>
        <v>04371C</v>
      </c>
      <c r="T17" s="217" t="s">
        <v>32</v>
      </c>
      <c r="U17" s="276">
        <f ca="1">IFERROR('January 1, 2027'!U17*IncreasePerc2028,"")</f>
        <v>57.960249213101612</v>
      </c>
      <c r="V17" s="276">
        <f ca="1">IFERROR('January 1, 2027'!V17*IncreasePerc2028,"")</f>
        <v>60.258773076292449</v>
      </c>
      <c r="W17" s="276">
        <f ca="1">IFERROR('January 1, 2027'!W17*IncreasePerc2028,"")</f>
        <v>63.946741701726744</v>
      </c>
      <c r="X17" s="276"/>
      <c r="Y17" s="276"/>
      <c r="Z17" s="276"/>
      <c r="AA17" s="279">
        <f ca="1">U17/'January 1, 2027'!U17</f>
        <v>1.03</v>
      </c>
      <c r="AB17" s="279">
        <f ca="1">V17/'January 1, 2027'!V17</f>
        <v>1.03</v>
      </c>
      <c r="AC17" s="279">
        <f ca="1">W17/'January 1, 2027'!W17</f>
        <v>1.03</v>
      </c>
      <c r="AD17" s="279"/>
      <c r="AE17" s="279"/>
      <c r="AF17" s="279"/>
      <c r="AK17" s="165" t="str">
        <f t="shared" si="6"/>
        <v>04371C</v>
      </c>
      <c r="AL17" s="165" t="str">
        <f t="shared" si="1"/>
        <v>CFG 3</v>
      </c>
      <c r="AM17" s="165" t="str">
        <f t="shared" si="7"/>
        <v>Fire Captain (40 hrs.)</v>
      </c>
      <c r="AN17" s="206">
        <f t="shared" ca="1" si="8"/>
        <v>57.96</v>
      </c>
      <c r="AO17" s="206">
        <f t="shared" ca="1" si="4"/>
        <v>60.259</v>
      </c>
      <c r="AP17" s="206">
        <f t="shared" ca="1" si="4"/>
        <v>63.947000000000003</v>
      </c>
      <c r="AQ17" s="165"/>
      <c r="AR17" s="165"/>
      <c r="AS17" s="165"/>
    </row>
    <row r="18" spans="1:45" ht="18.75" customHeight="1">
      <c r="A18" s="180" t="s">
        <v>33</v>
      </c>
      <c r="B18" s="63" t="s">
        <v>115</v>
      </c>
      <c r="C18" s="173" t="str">
        <f t="shared" si="2"/>
        <v>CFF 3</v>
      </c>
      <c r="D18" s="59" t="s">
        <v>34</v>
      </c>
      <c r="E18" s="59"/>
      <c r="F18" s="251" t="s">
        <v>17</v>
      </c>
      <c r="G18" s="253">
        <f t="shared" ca="1" si="5"/>
        <v>4636.850411858899</v>
      </c>
      <c r="H18" s="188">
        <f t="shared" ca="1" si="3"/>
        <v>4820.7281887364343</v>
      </c>
      <c r="I18" s="188">
        <f t="shared" ca="1" si="3"/>
        <v>5115.722290904997</v>
      </c>
      <c r="J18" s="188"/>
      <c r="K18" s="188"/>
      <c r="L18" s="189"/>
      <c r="M18" s="47"/>
      <c r="N18" s="42"/>
      <c r="O18" s="217">
        <v>109.2</v>
      </c>
      <c r="P18" s="219" t="s">
        <v>144</v>
      </c>
      <c r="Q18" s="219" t="s">
        <v>152</v>
      </c>
      <c r="R18" s="219" t="s">
        <v>287</v>
      </c>
      <c r="S18" s="219" t="str">
        <f t="shared" si="0"/>
        <v>04400C</v>
      </c>
      <c r="T18" s="217" t="s">
        <v>34</v>
      </c>
      <c r="U18" s="276">
        <f ca="1">IFERROR('January 1, 2027'!U18*IncreasePerc2028,"")</f>
        <v>42.462000108597977</v>
      </c>
      <c r="V18" s="276">
        <f ca="1">IFERROR('January 1, 2027'!V18*IncreasePerc2028,"")</f>
        <v>44.145862534216434</v>
      </c>
      <c r="W18" s="276">
        <f ca="1">IFERROR('January 1, 2027'!W18*IncreasePerc2028,"")</f>
        <v>46.847273726236232</v>
      </c>
      <c r="X18" s="276"/>
      <c r="Y18" s="276"/>
      <c r="Z18" s="276"/>
      <c r="AA18" s="279">
        <f ca="1">U18/'January 1, 2027'!U18</f>
        <v>1.03</v>
      </c>
      <c r="AB18" s="279">
        <f ca="1">V18/'January 1, 2027'!V18</f>
        <v>1.03</v>
      </c>
      <c r="AC18" s="279">
        <f ca="1">W18/'January 1, 2027'!W18</f>
        <v>1.03</v>
      </c>
      <c r="AD18" s="279"/>
      <c r="AE18" s="279"/>
      <c r="AF18" s="279"/>
      <c r="AK18" s="165" t="str">
        <f t="shared" si="6"/>
        <v>04400C</v>
      </c>
      <c r="AL18" s="165" t="str">
        <f t="shared" si="1"/>
        <v>CFF 3</v>
      </c>
      <c r="AM18" s="165" t="str">
        <f t="shared" si="7"/>
        <v>Fire Investigator</v>
      </c>
      <c r="AN18" s="206">
        <f t="shared" ca="1" si="8"/>
        <v>42.462000000000003</v>
      </c>
      <c r="AO18" s="206">
        <f t="shared" ca="1" si="4"/>
        <v>44.146000000000001</v>
      </c>
      <c r="AP18" s="206">
        <f t="shared" ca="1" si="4"/>
        <v>46.847000000000001</v>
      </c>
      <c r="AQ18" s="165"/>
      <c r="AR18" s="165"/>
      <c r="AS18" s="165"/>
    </row>
    <row r="19" spans="1:45" ht="18.75" customHeight="1">
      <c r="A19" s="180" t="s">
        <v>35</v>
      </c>
      <c r="B19" s="63" t="s">
        <v>115</v>
      </c>
      <c r="C19" s="173" t="str">
        <f t="shared" si="2"/>
        <v>CFG 3</v>
      </c>
      <c r="D19" s="59" t="s">
        <v>36</v>
      </c>
      <c r="E19" s="59"/>
      <c r="F19" s="251" t="s">
        <v>17</v>
      </c>
      <c r="G19" s="253">
        <f t="shared" ca="1" si="5"/>
        <v>4636.8199370481288</v>
      </c>
      <c r="H19" s="188">
        <f t="shared" ca="1" si="3"/>
        <v>4820.7018461033958</v>
      </c>
      <c r="I19" s="188">
        <f t="shared" ca="1" si="3"/>
        <v>5115.7393361381392</v>
      </c>
      <c r="J19" s="188"/>
      <c r="K19" s="188"/>
      <c r="L19" s="189"/>
      <c r="M19" s="47"/>
      <c r="N19" s="42"/>
      <c r="O19" s="217">
        <v>80</v>
      </c>
      <c r="P19" s="219" t="s">
        <v>143</v>
      </c>
      <c r="Q19" s="219" t="s">
        <v>153</v>
      </c>
      <c r="R19" s="219" t="s">
        <v>287</v>
      </c>
      <c r="S19" s="219" t="str">
        <f t="shared" si="0"/>
        <v>04401C</v>
      </c>
      <c r="T19" s="217" t="s">
        <v>36</v>
      </c>
      <c r="U19" s="276">
        <f ca="1">IFERROR('January 1, 2027'!U19*IncreasePerc2028,"")</f>
        <v>57.960249213101612</v>
      </c>
      <c r="V19" s="276">
        <f ca="1">IFERROR('January 1, 2027'!V19*IncreasePerc2028,"")</f>
        <v>60.258773076292449</v>
      </c>
      <c r="W19" s="276">
        <f ca="1">IFERROR('January 1, 2027'!W19*IncreasePerc2028,"")</f>
        <v>63.946741701726744</v>
      </c>
      <c r="X19" s="276"/>
      <c r="Y19" s="276"/>
      <c r="Z19" s="276"/>
      <c r="AA19" s="279">
        <f ca="1">U19/'January 1, 2027'!U19</f>
        <v>1.03</v>
      </c>
      <c r="AB19" s="279">
        <f ca="1">V19/'January 1, 2027'!V19</f>
        <v>1.03</v>
      </c>
      <c r="AC19" s="279">
        <f ca="1">W19/'January 1, 2027'!W19</f>
        <v>1.03</v>
      </c>
      <c r="AD19" s="279"/>
      <c r="AE19" s="279"/>
      <c r="AF19" s="279"/>
      <c r="AK19" s="165" t="str">
        <f t="shared" si="6"/>
        <v>04401C</v>
      </c>
      <c r="AL19" s="165" t="str">
        <f t="shared" si="1"/>
        <v>CFG 3</v>
      </c>
      <c r="AM19" s="165" t="str">
        <f t="shared" si="7"/>
        <v>Fire Investigator (40 hrs.)</v>
      </c>
      <c r="AN19" s="206">
        <f t="shared" ca="1" si="8"/>
        <v>57.96</v>
      </c>
      <c r="AO19" s="206">
        <f t="shared" ca="1" si="4"/>
        <v>60.259</v>
      </c>
      <c r="AP19" s="206">
        <f t="shared" ca="1" si="4"/>
        <v>63.947000000000003</v>
      </c>
      <c r="AQ19" s="165"/>
      <c r="AR19" s="165"/>
      <c r="AS19" s="165"/>
    </row>
    <row r="20" spans="1:45" ht="18.75" customHeight="1">
      <c r="A20" s="180" t="s">
        <v>37</v>
      </c>
      <c r="B20" s="63" t="s">
        <v>115</v>
      </c>
      <c r="C20" s="173" t="str">
        <f t="shared" si="2"/>
        <v>CFF 3</v>
      </c>
      <c r="D20" s="59" t="s">
        <v>38</v>
      </c>
      <c r="E20" s="59"/>
      <c r="F20" s="251" t="s">
        <v>17</v>
      </c>
      <c r="G20" s="253">
        <f t="shared" ca="1" si="5"/>
        <v>4636.850411858899</v>
      </c>
      <c r="H20" s="188">
        <f t="shared" ca="1" si="3"/>
        <v>4820.7281887364343</v>
      </c>
      <c r="I20" s="188">
        <f t="shared" ca="1" si="3"/>
        <v>5115.722290904997</v>
      </c>
      <c r="J20" s="188"/>
      <c r="K20" s="188"/>
      <c r="L20" s="189"/>
      <c r="M20" s="47"/>
      <c r="N20" s="42"/>
      <c r="O20" s="217">
        <v>109.2</v>
      </c>
      <c r="P20" s="219" t="s">
        <v>144</v>
      </c>
      <c r="Q20" s="219" t="s">
        <v>152</v>
      </c>
      <c r="R20" s="219" t="s">
        <v>287</v>
      </c>
      <c r="S20" s="219" t="str">
        <f t="shared" si="0"/>
        <v>04390C</v>
      </c>
      <c r="T20" s="217" t="s">
        <v>38</v>
      </c>
      <c r="U20" s="276">
        <f ca="1">IFERROR('January 1, 2027'!U20*IncreasePerc2028,"")</f>
        <v>42.462000108597977</v>
      </c>
      <c r="V20" s="276">
        <f ca="1">IFERROR('January 1, 2027'!V20*IncreasePerc2028,"")</f>
        <v>44.145862534216434</v>
      </c>
      <c r="W20" s="276">
        <f ca="1">IFERROR('January 1, 2027'!W20*IncreasePerc2028,"")</f>
        <v>46.847273726236232</v>
      </c>
      <c r="X20" s="276"/>
      <c r="Y20" s="276"/>
      <c r="Z20" s="276"/>
      <c r="AA20" s="279">
        <f ca="1">U20/'January 1, 2027'!U20</f>
        <v>1.03</v>
      </c>
      <c r="AB20" s="279">
        <f ca="1">V20/'January 1, 2027'!V20</f>
        <v>1.03</v>
      </c>
      <c r="AC20" s="279">
        <f ca="1">W20/'January 1, 2027'!W20</f>
        <v>1.03</v>
      </c>
      <c r="AD20" s="279"/>
      <c r="AE20" s="279"/>
      <c r="AF20" s="279"/>
      <c r="AK20" s="165" t="str">
        <f t="shared" si="6"/>
        <v>04390C</v>
      </c>
      <c r="AL20" s="165" t="str">
        <f t="shared" si="1"/>
        <v>CFF 3</v>
      </c>
      <c r="AM20" s="165" t="str">
        <f t="shared" si="7"/>
        <v>Fire Inspector 3</v>
      </c>
      <c r="AN20" s="206">
        <f t="shared" ca="1" si="8"/>
        <v>42.462000000000003</v>
      </c>
      <c r="AO20" s="206">
        <f t="shared" ca="1" si="4"/>
        <v>44.146000000000001</v>
      </c>
      <c r="AP20" s="206">
        <f t="shared" ca="1" si="4"/>
        <v>46.847000000000001</v>
      </c>
      <c r="AQ20" s="165"/>
      <c r="AR20" s="165"/>
      <c r="AS20" s="165"/>
    </row>
    <row r="21" spans="1:45" ht="18.75" customHeight="1">
      <c r="A21" s="180" t="s">
        <v>41</v>
      </c>
      <c r="B21" s="63" t="s">
        <v>115</v>
      </c>
      <c r="C21" s="173" t="str">
        <f t="shared" si="2"/>
        <v>CFF 4</v>
      </c>
      <c r="D21" s="65" t="s">
        <v>113</v>
      </c>
      <c r="E21" s="59"/>
      <c r="F21" s="251" t="s">
        <v>17</v>
      </c>
      <c r="G21" s="253">
        <f t="shared" ca="1" si="5"/>
        <v>4745.710568108484</v>
      </c>
      <c r="H21" s="188">
        <f t="shared" ca="1" si="3"/>
        <v>4826.0865902098594</v>
      </c>
      <c r="I21" s="188">
        <f t="shared" ca="1" si="3"/>
        <v>4908.1547390923188</v>
      </c>
      <c r="J21" s="188">
        <f t="shared" ca="1" si="3"/>
        <v>4990.2228879747763</v>
      </c>
      <c r="K21" s="188">
        <f t="shared" ca="1" si="3"/>
        <v>5294.664698004377</v>
      </c>
      <c r="L21" s="189"/>
      <c r="M21" s="47"/>
      <c r="N21" s="42"/>
      <c r="O21" s="217">
        <v>109.2</v>
      </c>
      <c r="P21" s="219" t="s">
        <v>144</v>
      </c>
      <c r="Q21" s="219" t="s">
        <v>154</v>
      </c>
      <c r="R21" s="219" t="s">
        <v>287</v>
      </c>
      <c r="S21" s="219" t="str">
        <f t="shared" si="0"/>
        <v>04436C</v>
      </c>
      <c r="T21" s="221" t="s">
        <v>113</v>
      </c>
      <c r="U21" s="276">
        <f ca="1">IFERROR('January 1, 2027'!U21*IncreasePerc2028,"")</f>
        <v>43.458887986341431</v>
      </c>
      <c r="V21" s="276">
        <f ca="1">IFERROR('January 1, 2027'!V21*IncreasePerc2028,"")</f>
        <v>44.194932144778932</v>
      </c>
      <c r="W21" s="276">
        <f ca="1">IFERROR('January 1, 2027'!W21*IncreasePerc2028,"")</f>
        <v>44.946471969709876</v>
      </c>
      <c r="X21" s="276">
        <f ca="1">IFERROR('January 1, 2027'!X21*IncreasePerc2028,"")</f>
        <v>45.698011794640806</v>
      </c>
      <c r="Y21" s="276">
        <f ca="1">IFERROR('January 1, 2027'!Y21*IncreasePerc2028,"")</f>
        <v>48.48594045791554</v>
      </c>
      <c r="Z21" s="276"/>
      <c r="AA21" s="279">
        <f ca="1">U21/'January 1, 2027'!U21</f>
        <v>1.03</v>
      </c>
      <c r="AB21" s="279">
        <f ca="1">V21/'January 1, 2027'!V21</f>
        <v>1.03</v>
      </c>
      <c r="AC21" s="279">
        <f ca="1">W21/'January 1, 2027'!W21</f>
        <v>1.03</v>
      </c>
      <c r="AD21" s="279">
        <f ca="1">X21/'January 1, 2027'!X21</f>
        <v>1.03</v>
      </c>
      <c r="AE21" s="279">
        <f ca="1">Y21/'January 1, 2027'!Y21</f>
        <v>1.03</v>
      </c>
      <c r="AF21" s="279"/>
      <c r="AK21" s="165" t="str">
        <f t="shared" si="6"/>
        <v>04436C</v>
      </c>
      <c r="AL21" s="165" t="str">
        <f t="shared" si="1"/>
        <v>CFF 4</v>
      </c>
      <c r="AM21" s="165" t="str">
        <f t="shared" si="7"/>
        <v xml:space="preserve">Fire Staff Captain </v>
      </c>
      <c r="AN21" s="206">
        <f t="shared" ca="1" si="8"/>
        <v>43.459000000000003</v>
      </c>
      <c r="AO21" s="206">
        <f t="shared" ca="1" si="4"/>
        <v>44.195</v>
      </c>
      <c r="AP21" s="206">
        <f t="shared" ca="1" si="4"/>
        <v>44.945999999999998</v>
      </c>
      <c r="AQ21" s="206">
        <f t="shared" ca="1" si="4"/>
        <v>45.698</v>
      </c>
      <c r="AR21" s="206">
        <f t="shared" ca="1" si="4"/>
        <v>48.485999999999997</v>
      </c>
      <c r="AS21" s="165"/>
    </row>
    <row r="22" spans="1:45" ht="18.75" customHeight="1" thickBot="1">
      <c r="A22" s="181" t="s">
        <v>39</v>
      </c>
      <c r="B22" s="182" t="s">
        <v>115</v>
      </c>
      <c r="C22" s="182" t="str">
        <f t="shared" si="2"/>
        <v>CFG 4</v>
      </c>
      <c r="D22" s="183" t="s">
        <v>42</v>
      </c>
      <c r="E22" s="184"/>
      <c r="F22" s="252" t="s">
        <v>17</v>
      </c>
      <c r="G22" s="254">
        <f t="shared" ca="1" si="5"/>
        <v>4745.7028202752363</v>
      </c>
      <c r="H22" s="190">
        <f t="shared" ca="1" si="3"/>
        <v>4826.0736771544489</v>
      </c>
      <c r="I22" s="190">
        <f t="shared" ca="1" si="3"/>
        <v>4908.2007095695817</v>
      </c>
      <c r="J22" s="190">
        <f t="shared" ca="1" si="3"/>
        <v>4990.2244375414248</v>
      </c>
      <c r="K22" s="190">
        <f t="shared" ca="1" si="3"/>
        <v>5294.6626319155112</v>
      </c>
      <c r="L22" s="191"/>
      <c r="M22" s="47"/>
      <c r="N22" s="42"/>
      <c r="O22" s="217">
        <v>80</v>
      </c>
      <c r="P22" s="219" t="s">
        <v>143</v>
      </c>
      <c r="Q22" s="219" t="s">
        <v>155</v>
      </c>
      <c r="R22" s="219" t="s">
        <v>287</v>
      </c>
      <c r="S22" s="219" t="str">
        <f t="shared" si="0"/>
        <v>04435C</v>
      </c>
      <c r="T22" s="217" t="s">
        <v>42</v>
      </c>
      <c r="U22" s="276">
        <f ca="1">IFERROR('January 1, 2027'!U22*IncreasePerc2028,"")</f>
        <v>59.321285253440458</v>
      </c>
      <c r="V22" s="276">
        <f ca="1">IFERROR('January 1, 2027'!V22*IncreasePerc2028,"")</f>
        <v>60.325920964430608</v>
      </c>
      <c r="W22" s="276">
        <f ca="1">IFERROR('January 1, 2027'!W22*IncreasePerc2028,"")</f>
        <v>61.352508869619768</v>
      </c>
      <c r="X22" s="276">
        <f ca="1">IFERROR('January 1, 2027'!X22*IncreasePerc2028,"")</f>
        <v>62.377805469267813</v>
      </c>
      <c r="Y22" s="276">
        <f ca="1">IFERROR('January 1, 2027'!Y22*IncreasePerc2028,"")</f>
        <v>66.183282898943887</v>
      </c>
      <c r="Z22" s="276"/>
      <c r="AA22" s="279">
        <f ca="1">U22/'January 1, 2027'!U22</f>
        <v>1.03</v>
      </c>
      <c r="AB22" s="279">
        <f ca="1">V22/'January 1, 2027'!V22</f>
        <v>1.03</v>
      </c>
      <c r="AC22" s="279">
        <f ca="1">W22/'January 1, 2027'!W22</f>
        <v>1.03</v>
      </c>
      <c r="AD22" s="279">
        <f ca="1">X22/'January 1, 2027'!X22</f>
        <v>1.03</v>
      </c>
      <c r="AE22" s="279">
        <f ca="1">Y22/'January 1, 2027'!Y22</f>
        <v>1.03</v>
      </c>
      <c r="AF22" s="279"/>
      <c r="AK22" s="165" t="str">
        <f t="shared" si="6"/>
        <v>04435C</v>
      </c>
      <c r="AL22" s="165" t="str">
        <f t="shared" si="1"/>
        <v>CFG 4</v>
      </c>
      <c r="AM22" s="165" t="str">
        <f t="shared" si="7"/>
        <v>Fire Staff Captain (40 hrs.)</v>
      </c>
      <c r="AN22" s="206">
        <f t="shared" ca="1" si="8"/>
        <v>59.320999999999998</v>
      </c>
      <c r="AO22" s="206">
        <f t="shared" ca="1" si="4"/>
        <v>60.326000000000001</v>
      </c>
      <c r="AP22" s="206">
        <f t="shared" ca="1" si="4"/>
        <v>61.353000000000002</v>
      </c>
      <c r="AQ22" s="206">
        <f t="shared" ca="1" si="4"/>
        <v>62.378</v>
      </c>
      <c r="AR22" s="206">
        <f t="shared" ca="1" si="4"/>
        <v>66.183000000000007</v>
      </c>
      <c r="AS22" s="165"/>
    </row>
    <row r="23" spans="1:45" ht="18.75" customHeight="1">
      <c r="A23"/>
      <c r="B23"/>
      <c r="C23"/>
      <c r="D23"/>
      <c r="E23"/>
      <c r="F23"/>
      <c r="G23"/>
      <c r="H23"/>
      <c r="I23"/>
      <c r="J23"/>
      <c r="K23"/>
      <c r="L23"/>
      <c r="M23" s="47"/>
      <c r="N23" s="42"/>
      <c r="O23" s="217">
        <v>109.2</v>
      </c>
      <c r="P23" s="219" t="s">
        <v>284</v>
      </c>
      <c r="Q23" s="219" t="s">
        <v>235</v>
      </c>
      <c r="R23" s="219" t="s">
        <v>287</v>
      </c>
      <c r="S23" s="219" t="s">
        <v>280</v>
      </c>
      <c r="T23" s="217" t="s">
        <v>298</v>
      </c>
      <c r="U23" s="276">
        <f ca="1">IFERROR('January 1, 2027'!U23*IncreasePerc2028,"")</f>
        <v>30.219132273253962</v>
      </c>
      <c r="V23" s="276">
        <f ca="1">IFERROR('January 1, 2027'!V23*IncreasePerc2028,"")</f>
        <v>31.427794259740828</v>
      </c>
      <c r="W23" s="276">
        <f ca="1">IFERROR('January 1, 2027'!W23*IncreasePerc2028,"")</f>
        <v>32.6855258567902</v>
      </c>
      <c r="X23" s="276">
        <f ca="1">IFERROR('January 1, 2027'!X23*IncreasePerc2028,"")</f>
        <v>33.992327064402069</v>
      </c>
      <c r="Y23" s="276">
        <f ca="1">IFERROR('January 1, 2027'!Y23*IncreasePerc2028,"")</f>
        <v>35.352071799199791</v>
      </c>
      <c r="Z23" s="276">
        <f ca="1">IFERROR('January 1, 2027'!Z23*IncreasePerc2028,"")</f>
        <v>36.766051366724497</v>
      </c>
      <c r="AA23" s="279">
        <f ca="1">U23/'January 1, 2027'!U23</f>
        <v>1.03</v>
      </c>
      <c r="AB23" s="279">
        <f ca="1">V23/'January 1, 2027'!V23</f>
        <v>1.03</v>
      </c>
      <c r="AC23" s="279">
        <f ca="1">W23/'January 1, 2027'!W23</f>
        <v>1.03</v>
      </c>
      <c r="AD23" s="279">
        <f ca="1">X23/'January 1, 2027'!X23</f>
        <v>1.03</v>
      </c>
      <c r="AE23" s="279">
        <f ca="1">Y23/'January 1, 2027'!Y23</f>
        <v>1.03</v>
      </c>
      <c r="AF23" s="279">
        <f ca="1">Z23/'January 1, 2027'!Z23</f>
        <v>1.03</v>
      </c>
      <c r="AK23" s="165" t="str">
        <f t="shared" si="6"/>
        <v>04452C</v>
      </c>
      <c r="AL23" s="165" t="str">
        <f>Q23</f>
        <v>CFH 1</v>
      </c>
      <c r="AM23" s="165" t="str">
        <f t="shared" si="7"/>
        <v>Firerighter Bell Curve-C*</v>
      </c>
      <c r="AN23" s="206">
        <f t="shared" ca="1" si="8"/>
        <v>30.219000000000001</v>
      </c>
      <c r="AO23" s="206">
        <f t="shared" ca="1" si="4"/>
        <v>31.428000000000001</v>
      </c>
      <c r="AP23" s="206">
        <f t="shared" ca="1" si="4"/>
        <v>32.686</v>
      </c>
      <c r="AQ23" s="206">
        <f t="shared" ca="1" si="4"/>
        <v>33.991999999999997</v>
      </c>
      <c r="AR23" s="206">
        <f t="shared" ca="1" si="4"/>
        <v>35.351999999999997</v>
      </c>
      <c r="AS23" s="206">
        <f t="shared" ca="1" si="4"/>
        <v>36.765999999999998</v>
      </c>
    </row>
    <row r="24" spans="1:45" ht="27.75" customHeight="1">
      <c r="A24" s="41" t="s">
        <v>303</v>
      </c>
      <c r="C24" s="46"/>
      <c r="G24" s="46"/>
      <c r="H24" s="46"/>
      <c r="I24" s="46"/>
      <c r="J24" s="46"/>
      <c r="K24" s="46"/>
      <c r="L24" s="46"/>
      <c r="M24" s="46"/>
      <c r="T24" s="211" t="s">
        <v>299</v>
      </c>
      <c r="AM24" s="205" t="s">
        <v>299</v>
      </c>
    </row>
    <row r="25" spans="1:45" ht="17.25" customHeight="1">
      <c r="A25" s="50" t="s">
        <v>50</v>
      </c>
      <c r="C25" s="46"/>
      <c r="G25" s="46"/>
      <c r="H25" s="46"/>
      <c r="I25" s="46"/>
      <c r="J25" s="46"/>
      <c r="K25" s="46"/>
      <c r="L25" s="46"/>
      <c r="M25" s="46"/>
    </row>
    <row r="26" spans="1:45" ht="17.25" customHeight="1">
      <c r="A26" s="42" t="s">
        <v>51</v>
      </c>
      <c r="C26" s="46"/>
      <c r="G26" s="46"/>
      <c r="H26" s="46"/>
      <c r="I26" s="46"/>
      <c r="J26" s="46"/>
      <c r="K26" s="46"/>
      <c r="L26" s="46"/>
      <c r="M26" s="46"/>
    </row>
    <row r="27" spans="1:45" ht="17.25" customHeight="1">
      <c r="A27" s="50" t="s">
        <v>52</v>
      </c>
      <c r="B27" s="46"/>
      <c r="C27" s="46"/>
    </row>
    <row r="28" spans="1:45" ht="17.25" customHeight="1">
      <c r="A28" s="50"/>
      <c r="B28" s="46"/>
      <c r="C28" s="46"/>
      <c r="P28" s="210"/>
      <c r="Q28" s="210"/>
      <c r="R28" s="210"/>
      <c r="S28" s="222"/>
      <c r="U28" s="286" t="s">
        <v>278</v>
      </c>
      <c r="V28" s="287"/>
      <c r="W28" s="210"/>
    </row>
    <row r="29" spans="1:45" ht="27.75" customHeight="1">
      <c r="A29" s="41" t="s">
        <v>136</v>
      </c>
      <c r="B29" s="42" t="s">
        <v>160</v>
      </c>
      <c r="P29" s="210"/>
      <c r="Q29" s="210"/>
      <c r="R29" s="268" t="s">
        <v>286</v>
      </c>
      <c r="S29" s="269" t="s">
        <v>297</v>
      </c>
      <c r="T29" s="264"/>
      <c r="U29" s="216" t="s">
        <v>230</v>
      </c>
      <c r="V29" s="216" t="s">
        <v>231</v>
      </c>
      <c r="W29" s="210"/>
      <c r="AK29" s="207" t="str">
        <f t="shared" ref="AK29:AK48" si="9">S29</f>
        <v>Description</v>
      </c>
      <c r="AL29" s="165"/>
      <c r="AM29" s="165"/>
      <c r="AN29" s="208" t="str">
        <f>U29</f>
        <v>CFF/109.2</v>
      </c>
      <c r="AO29" s="208" t="str">
        <f>V29</f>
        <v>CFG/80</v>
      </c>
    </row>
    <row r="30" spans="1:45" ht="17.25" customHeight="1">
      <c r="A30" s="56">
        <f t="shared" ref="A30:A48" ca="1" si="10">T30</f>
        <v>22.346037288097378</v>
      </c>
      <c r="B30" s="52" t="s">
        <v>161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140"/>
      <c r="P30" s="210"/>
      <c r="Q30" s="210"/>
      <c r="R30" s="219" t="s">
        <v>287</v>
      </c>
      <c r="S30" s="227" t="str">
        <f t="shared" ref="S30:S48" si="11">"Non FF "&amp;B30</f>
        <v>Non FF  7th year of service</v>
      </c>
      <c r="T30" s="265">
        <f ca="1">'January 1, 2027'!T30*$R$2</f>
        <v>22.346037288097378</v>
      </c>
      <c r="U30" s="220">
        <f ca="1">T30/109.2</f>
        <v>0.20463404109979283</v>
      </c>
      <c r="V30" s="220">
        <f ca="1">T30/80</f>
        <v>0.27932546610121722</v>
      </c>
      <c r="W30" s="224"/>
      <c r="AA30" s="279">
        <f ca="1">T30/'January 1, 2027'!T30</f>
        <v>1.03</v>
      </c>
      <c r="AB30" s="279">
        <f ca="1">U30/'January 1, 2027'!U30</f>
        <v>1.03</v>
      </c>
      <c r="AC30" s="279">
        <f ca="1">V30/'January 1, 2027'!V30</f>
        <v>1.03</v>
      </c>
      <c r="AD30" s="281"/>
      <c r="AE30" s="281"/>
      <c r="AF30" s="281"/>
      <c r="AK30" s="165" t="str">
        <f t="shared" si="9"/>
        <v>Non FF  7th year of service</v>
      </c>
      <c r="AL30" s="165"/>
      <c r="AM30" s="165"/>
      <c r="AN30" s="206">
        <f t="shared" ref="AN30:AO45" ca="1" si="12">ROUND(U30,3)</f>
        <v>0.20499999999999999</v>
      </c>
      <c r="AO30" s="206">
        <f t="shared" ca="1" si="12"/>
        <v>0.27900000000000003</v>
      </c>
    </row>
    <row r="31" spans="1:45" ht="17.25" customHeight="1">
      <c r="A31" s="56">
        <f t="shared" ca="1" si="10"/>
        <v>31.693399290961555</v>
      </c>
      <c r="B31" s="52" t="s">
        <v>162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140"/>
      <c r="P31" s="210"/>
      <c r="Q31" s="210"/>
      <c r="R31" s="219" t="s">
        <v>287</v>
      </c>
      <c r="S31" s="227" t="str">
        <f t="shared" si="11"/>
        <v>Non FF  8th year of service</v>
      </c>
      <c r="T31" s="265">
        <f ca="1">'January 1, 2027'!T31*$R$2</f>
        <v>31.693399290961555</v>
      </c>
      <c r="U31" s="220">
        <f t="shared" ref="U31:U48" ca="1" si="13">T31/109.2</f>
        <v>0.29023259423957465</v>
      </c>
      <c r="V31" s="220">
        <f t="shared" ref="V31:V48" ca="1" si="14">T31/80</f>
        <v>0.39616749113701943</v>
      </c>
      <c r="W31" s="224"/>
      <c r="Y31" s="225"/>
      <c r="AA31" s="279">
        <f ca="1">T31/'January 1, 2027'!T31</f>
        <v>1.03</v>
      </c>
      <c r="AB31" s="279">
        <f ca="1">U31/'January 1, 2027'!U31</f>
        <v>1.0299999999999998</v>
      </c>
      <c r="AC31" s="279">
        <f ca="1">V31/'January 1, 2027'!V31</f>
        <v>1.03</v>
      </c>
      <c r="AD31" s="281"/>
      <c r="AE31" s="281"/>
      <c r="AF31" s="281"/>
      <c r="AK31" s="165" t="str">
        <f t="shared" si="9"/>
        <v>Non FF  8th year of service</v>
      </c>
      <c r="AL31" s="165"/>
      <c r="AM31" s="165"/>
      <c r="AN31" s="206">
        <f t="shared" ca="1" si="12"/>
        <v>0.28999999999999998</v>
      </c>
      <c r="AO31" s="206">
        <f t="shared" ca="1" si="12"/>
        <v>0.39600000000000002</v>
      </c>
    </row>
    <row r="32" spans="1:45" ht="17.25" customHeight="1">
      <c r="A32" s="56">
        <f t="shared" ca="1" si="10"/>
        <v>41.040761293825859</v>
      </c>
      <c r="B32" s="52" t="s">
        <v>163</v>
      </c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140"/>
      <c r="P32" s="210"/>
      <c r="Q32" s="210"/>
      <c r="R32" s="219" t="s">
        <v>287</v>
      </c>
      <c r="S32" s="227" t="str">
        <f t="shared" si="11"/>
        <v>Non FF  9th year of service</v>
      </c>
      <c r="T32" s="265">
        <f ca="1">'January 1, 2027'!T32*$R$2</f>
        <v>41.040761293825859</v>
      </c>
      <c r="U32" s="220">
        <f t="shared" ca="1" si="13"/>
        <v>0.37583114737935769</v>
      </c>
      <c r="V32" s="220">
        <f t="shared" ca="1" si="14"/>
        <v>0.5130095161728232</v>
      </c>
      <c r="W32" s="224"/>
      <c r="Y32" s="225"/>
      <c r="AA32" s="279">
        <f ca="1">T32/'January 1, 2027'!T32</f>
        <v>1.03</v>
      </c>
      <c r="AB32" s="279">
        <f ca="1">U32/'January 1, 2027'!U32</f>
        <v>1.03</v>
      </c>
      <c r="AC32" s="279">
        <f ca="1">V32/'January 1, 2027'!V32</f>
        <v>1.03</v>
      </c>
      <c r="AK32" s="165" t="str">
        <f t="shared" si="9"/>
        <v>Non FF  9th year of service</v>
      </c>
      <c r="AL32" s="165"/>
      <c r="AM32" s="165"/>
      <c r="AN32" s="206">
        <f t="shared" ca="1" si="12"/>
        <v>0.376</v>
      </c>
      <c r="AO32" s="206">
        <f t="shared" ca="1" si="12"/>
        <v>0.51300000000000001</v>
      </c>
    </row>
    <row r="33" spans="1:41" ht="17.25" customHeight="1">
      <c r="A33" s="56">
        <f t="shared" ca="1" si="10"/>
        <v>50.388123296690175</v>
      </c>
      <c r="B33" s="52" t="s">
        <v>164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140"/>
      <c r="P33" s="210"/>
      <c r="Q33" s="210"/>
      <c r="R33" s="219" t="s">
        <v>287</v>
      </c>
      <c r="S33" s="227" t="str">
        <f t="shared" si="11"/>
        <v>Non FF  10th year of service</v>
      </c>
      <c r="T33" s="265">
        <f ca="1">'January 1, 2027'!T33*IncreasePerc2027</f>
        <v>50.388123296690175</v>
      </c>
      <c r="U33" s="220">
        <f t="shared" ca="1" si="13"/>
        <v>0.46142970051914078</v>
      </c>
      <c r="V33" s="220">
        <f t="shared" ca="1" si="14"/>
        <v>0.62985154120862719</v>
      </c>
      <c r="W33" s="224"/>
      <c r="Y33" s="225"/>
      <c r="AA33" s="279">
        <f ca="1">T33/'January 1, 2027'!T33</f>
        <v>1.03</v>
      </c>
      <c r="AB33" s="279">
        <f ca="1">U33/'January 1, 2027'!U33</f>
        <v>1.03</v>
      </c>
      <c r="AC33" s="279">
        <f ca="1">V33/'January 1, 2027'!V33</f>
        <v>1.03</v>
      </c>
      <c r="AK33" s="165" t="str">
        <f t="shared" si="9"/>
        <v>Non FF  10th year of service</v>
      </c>
      <c r="AL33" s="165"/>
      <c r="AM33" s="165"/>
      <c r="AN33" s="206">
        <f t="shared" ca="1" si="12"/>
        <v>0.46100000000000002</v>
      </c>
      <c r="AO33" s="206">
        <f t="shared" ca="1" si="12"/>
        <v>0.63</v>
      </c>
    </row>
    <row r="34" spans="1:41" ht="17.25" customHeight="1">
      <c r="A34" s="56">
        <f t="shared" ca="1" si="10"/>
        <v>59.735485299554362</v>
      </c>
      <c r="B34" s="52" t="s">
        <v>165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140"/>
      <c r="P34" s="210"/>
      <c r="Q34" s="210"/>
      <c r="R34" s="219" t="s">
        <v>287</v>
      </c>
      <c r="S34" s="227" t="str">
        <f t="shared" si="11"/>
        <v>Non FF  11th year of service</v>
      </c>
      <c r="T34" s="265">
        <f ca="1">'January 1, 2027'!T34*IncreasePerc2027</f>
        <v>59.735485299554362</v>
      </c>
      <c r="U34" s="220">
        <f t="shared" ca="1" si="13"/>
        <v>0.54702825365892271</v>
      </c>
      <c r="V34" s="220">
        <f t="shared" ca="1" si="14"/>
        <v>0.74669356624442951</v>
      </c>
      <c r="W34" s="224"/>
      <c r="Y34" s="225"/>
      <c r="AA34" s="279">
        <f ca="1">T34/'January 1, 2027'!T34</f>
        <v>1.03</v>
      </c>
      <c r="AB34" s="279">
        <f ca="1">U34/'January 1, 2027'!U34</f>
        <v>1.03</v>
      </c>
      <c r="AC34" s="279">
        <f ca="1">V34/'January 1, 2027'!V34</f>
        <v>1.03</v>
      </c>
      <c r="AK34" s="165" t="str">
        <f t="shared" si="9"/>
        <v>Non FF  11th year of service</v>
      </c>
      <c r="AL34" s="165"/>
      <c r="AM34" s="165"/>
      <c r="AN34" s="206">
        <f t="shared" ca="1" si="12"/>
        <v>0.54700000000000004</v>
      </c>
      <c r="AO34" s="206">
        <f t="shared" ca="1" si="12"/>
        <v>0.747</v>
      </c>
    </row>
    <row r="35" spans="1:41" ht="17.25" customHeight="1">
      <c r="A35" s="56">
        <f t="shared" ca="1" si="10"/>
        <v>180.53918524672824</v>
      </c>
      <c r="B35" s="52" t="s">
        <v>166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140"/>
      <c r="P35" s="210"/>
      <c r="Q35" s="210"/>
      <c r="R35" s="219" t="s">
        <v>287</v>
      </c>
      <c r="S35" s="227" t="str">
        <f t="shared" si="11"/>
        <v>Non FF  12th year of service</v>
      </c>
      <c r="T35" s="265">
        <f ca="1">'January 1, 2027'!T35*IncreasePerc2027</f>
        <v>180.53918524672824</v>
      </c>
      <c r="U35" s="220">
        <f t="shared" ca="1" si="13"/>
        <v>1.653289242186156</v>
      </c>
      <c r="V35" s="220">
        <f t="shared" ca="1" si="14"/>
        <v>2.256739815584103</v>
      </c>
      <c r="W35" s="224"/>
      <c r="Y35" s="225"/>
      <c r="AA35" s="279">
        <f ca="1">T35/'January 1, 2027'!T35</f>
        <v>1.03</v>
      </c>
      <c r="AB35" s="279">
        <f ca="1">U35/'January 1, 2027'!U35</f>
        <v>1.03</v>
      </c>
      <c r="AC35" s="279">
        <f ca="1">V35/'January 1, 2027'!V35</f>
        <v>1.03</v>
      </c>
      <c r="AK35" s="165" t="str">
        <f t="shared" si="9"/>
        <v>Non FF  12th year of service</v>
      </c>
      <c r="AL35" s="165"/>
      <c r="AM35" s="165"/>
      <c r="AN35" s="206">
        <f t="shared" ca="1" si="12"/>
        <v>1.653</v>
      </c>
      <c r="AO35" s="206">
        <f t="shared" ca="1" si="12"/>
        <v>2.2570000000000001</v>
      </c>
    </row>
    <row r="36" spans="1:41" ht="17.25" customHeight="1">
      <c r="A36" s="56">
        <f t="shared" ca="1" si="10"/>
        <v>190.68983617171344</v>
      </c>
      <c r="B36" s="52" t="s">
        <v>167</v>
      </c>
      <c r="P36" s="210"/>
      <c r="Q36" s="210"/>
      <c r="R36" s="219" t="s">
        <v>287</v>
      </c>
      <c r="S36" s="227" t="str">
        <f t="shared" si="11"/>
        <v>Non FF  13th year of service</v>
      </c>
      <c r="T36" s="265">
        <f ca="1">'January 1, 2027'!T36*IncreasePerc2027</f>
        <v>190.68983617171344</v>
      </c>
      <c r="U36" s="220">
        <f t="shared" ca="1" si="13"/>
        <v>1.7462439209863867</v>
      </c>
      <c r="V36" s="220">
        <f t="shared" ca="1" si="14"/>
        <v>2.3836229521464181</v>
      </c>
      <c r="W36" s="224"/>
      <c r="Y36" s="225"/>
      <c r="AA36" s="279">
        <f ca="1">T36/'January 1, 2027'!T36</f>
        <v>1.03</v>
      </c>
      <c r="AB36" s="279">
        <f ca="1">U36/'January 1, 2027'!U36</f>
        <v>1.03</v>
      </c>
      <c r="AC36" s="279">
        <f ca="1">V36/'January 1, 2027'!V36</f>
        <v>1.03</v>
      </c>
      <c r="AK36" s="165" t="str">
        <f t="shared" si="9"/>
        <v>Non FF  13th year of service</v>
      </c>
      <c r="AL36" s="165"/>
      <c r="AM36" s="165"/>
      <c r="AN36" s="206">
        <f t="shared" ca="1" si="12"/>
        <v>1.746</v>
      </c>
      <c r="AO36" s="206">
        <f t="shared" ca="1" si="12"/>
        <v>2.3839999999999999</v>
      </c>
    </row>
    <row r="37" spans="1:41" ht="17.25" customHeight="1">
      <c r="A37" s="56">
        <f t="shared" ca="1" si="10"/>
        <v>200.82223053028656</v>
      </c>
      <c r="B37" s="52" t="s">
        <v>168</v>
      </c>
      <c r="P37" s="210"/>
      <c r="Q37" s="210"/>
      <c r="R37" s="219" t="s">
        <v>287</v>
      </c>
      <c r="S37" s="227" t="str">
        <f t="shared" si="11"/>
        <v>Non FF  14th year of service</v>
      </c>
      <c r="T37" s="265">
        <f ca="1">'January 1, 2027'!T37*IncreasePerc2027</f>
        <v>200.82223053028656</v>
      </c>
      <c r="U37" s="220">
        <f t="shared" ca="1" si="13"/>
        <v>1.8390314151125142</v>
      </c>
      <c r="V37" s="220">
        <f t="shared" ca="1" si="14"/>
        <v>2.510277881628582</v>
      </c>
      <c r="W37" s="224"/>
      <c r="Y37" s="225"/>
      <c r="AA37" s="279">
        <f ca="1">T37/'January 1, 2027'!T37</f>
        <v>1.03</v>
      </c>
      <c r="AB37" s="279">
        <f ca="1">U37/'January 1, 2027'!U37</f>
        <v>1.03</v>
      </c>
      <c r="AC37" s="279">
        <f ca="1">V37/'January 1, 2027'!V37</f>
        <v>1.03</v>
      </c>
      <c r="AK37" s="165" t="str">
        <f t="shared" si="9"/>
        <v>Non FF  14th year of service</v>
      </c>
      <c r="AL37" s="165"/>
      <c r="AM37" s="165"/>
      <c r="AN37" s="206">
        <f t="shared" ca="1" si="12"/>
        <v>1.839</v>
      </c>
      <c r="AO37" s="206">
        <f t="shared" ca="1" si="12"/>
        <v>2.5099999999999998</v>
      </c>
    </row>
    <row r="38" spans="1:41" ht="17.25" customHeight="1">
      <c r="A38" s="56">
        <f t="shared" ca="1" si="10"/>
        <v>262.67547753361492</v>
      </c>
      <c r="B38" s="52" t="s">
        <v>169</v>
      </c>
      <c r="P38" s="210"/>
      <c r="Q38" s="210"/>
      <c r="R38" s="219" t="s">
        <v>287</v>
      </c>
      <c r="S38" s="227" t="str">
        <f t="shared" si="11"/>
        <v>Non FF  15th year of service</v>
      </c>
      <c r="T38" s="265">
        <f ca="1">'January 1, 2027'!T38*IncreasePerc2027</f>
        <v>262.67547753361492</v>
      </c>
      <c r="U38" s="220">
        <f t="shared" ca="1" si="13"/>
        <v>2.4054530909671694</v>
      </c>
      <c r="V38" s="220">
        <f t="shared" ca="1" si="14"/>
        <v>3.2834434691701864</v>
      </c>
      <c r="W38" s="224"/>
      <c r="Y38" s="225"/>
      <c r="AA38" s="279">
        <f ca="1">T38/'January 1, 2027'!T38</f>
        <v>1.03</v>
      </c>
      <c r="AB38" s="279">
        <f ca="1">U38/'January 1, 2027'!U38</f>
        <v>1.03</v>
      </c>
      <c r="AC38" s="279">
        <f ca="1">V38/'January 1, 2027'!V38</f>
        <v>1.0299999999999998</v>
      </c>
      <c r="AK38" s="165" t="str">
        <f t="shared" si="9"/>
        <v>Non FF  15th year of service</v>
      </c>
      <c r="AL38" s="165"/>
      <c r="AM38" s="165"/>
      <c r="AN38" s="206">
        <f t="shared" ca="1" si="12"/>
        <v>2.4049999999999998</v>
      </c>
      <c r="AO38" s="206">
        <f t="shared" ca="1" si="12"/>
        <v>3.2829999999999999</v>
      </c>
    </row>
    <row r="39" spans="1:41" ht="17.25" customHeight="1">
      <c r="A39" s="56">
        <f t="shared" ca="1" si="10"/>
        <v>272.80787189218813</v>
      </c>
      <c r="B39" s="52" t="s">
        <v>170</v>
      </c>
      <c r="P39" s="210"/>
      <c r="Q39" s="210"/>
      <c r="R39" s="219" t="s">
        <v>287</v>
      </c>
      <c r="S39" s="227" t="str">
        <f t="shared" si="11"/>
        <v>Non FF  16th year of service</v>
      </c>
      <c r="T39" s="265">
        <f ca="1">'January 1, 2027'!T39*IncreasePerc2027</f>
        <v>272.80787189218813</v>
      </c>
      <c r="U39" s="220">
        <f t="shared" ca="1" si="13"/>
        <v>2.4982405850932978</v>
      </c>
      <c r="V39" s="220">
        <f t="shared" ca="1" si="14"/>
        <v>3.4100983986523516</v>
      </c>
      <c r="W39" s="224"/>
      <c r="Y39" s="225"/>
      <c r="AA39" s="279">
        <f ca="1">T39/'January 1, 2027'!T39</f>
        <v>1.03</v>
      </c>
      <c r="AB39" s="279">
        <f ca="1">U39/'January 1, 2027'!U39</f>
        <v>1.0300000000000002</v>
      </c>
      <c r="AC39" s="279">
        <f ca="1">V39/'January 1, 2027'!V39</f>
        <v>1.03</v>
      </c>
      <c r="AK39" s="165" t="str">
        <f t="shared" si="9"/>
        <v>Non FF  16th year of service</v>
      </c>
      <c r="AL39" s="165"/>
      <c r="AM39" s="165"/>
      <c r="AN39" s="206">
        <f t="shared" ca="1" si="12"/>
        <v>2.4980000000000002</v>
      </c>
      <c r="AO39" s="206">
        <f t="shared" ca="1" si="12"/>
        <v>3.41</v>
      </c>
    </row>
    <row r="40" spans="1:41" ht="17.25" customHeight="1">
      <c r="A40" s="56">
        <f t="shared" ca="1" si="10"/>
        <v>282.95852281717339</v>
      </c>
      <c r="B40" s="52" t="s">
        <v>171</v>
      </c>
      <c r="P40" s="210"/>
      <c r="Q40" s="210"/>
      <c r="R40" s="219" t="s">
        <v>287</v>
      </c>
      <c r="S40" s="227" t="str">
        <f t="shared" si="11"/>
        <v>Non FF  17th year of service</v>
      </c>
      <c r="T40" s="265">
        <f ca="1">'January 1, 2027'!T40*IncreasePerc2027</f>
        <v>282.95852281717339</v>
      </c>
      <c r="U40" s="220">
        <f t="shared" ca="1" si="13"/>
        <v>2.5911952638935292</v>
      </c>
      <c r="V40" s="220">
        <f t="shared" ca="1" si="14"/>
        <v>3.5369815352146672</v>
      </c>
      <c r="W40" s="224"/>
      <c r="Y40" s="225"/>
      <c r="AA40" s="279">
        <f ca="1">T40/'January 1, 2027'!T40</f>
        <v>1.03</v>
      </c>
      <c r="AB40" s="279">
        <f ca="1">U40/'January 1, 2027'!U40</f>
        <v>1.03</v>
      </c>
      <c r="AC40" s="279">
        <f ca="1">V40/'January 1, 2027'!V40</f>
        <v>1.03</v>
      </c>
      <c r="AK40" s="165" t="str">
        <f t="shared" si="9"/>
        <v>Non FF  17th year of service</v>
      </c>
      <c r="AL40" s="165"/>
      <c r="AM40" s="165"/>
      <c r="AN40" s="206">
        <f t="shared" ca="1" si="12"/>
        <v>2.5910000000000002</v>
      </c>
      <c r="AO40" s="206">
        <f t="shared" ca="1" si="12"/>
        <v>3.5369999999999999</v>
      </c>
    </row>
    <row r="41" spans="1:41" ht="17.25" customHeight="1">
      <c r="A41" s="56">
        <f t="shared" ca="1" si="10"/>
        <v>293.10917374216001</v>
      </c>
      <c r="B41" s="52" t="s">
        <v>172</v>
      </c>
      <c r="P41" s="210"/>
      <c r="Q41" s="210"/>
      <c r="R41" s="219" t="s">
        <v>287</v>
      </c>
      <c r="S41" s="227" t="str">
        <f t="shared" si="11"/>
        <v>Non FF  18th year of service</v>
      </c>
      <c r="T41" s="265">
        <f ca="1">'January 1, 2027'!T41*IncreasePerc2027</f>
        <v>293.10917374216001</v>
      </c>
      <c r="U41" s="220">
        <f t="shared" ca="1" si="13"/>
        <v>2.6841499426937729</v>
      </c>
      <c r="V41" s="220">
        <f t="shared" ca="1" si="14"/>
        <v>3.663864671777</v>
      </c>
      <c r="W41" s="224"/>
      <c r="Y41" s="225"/>
      <c r="AA41" s="279">
        <f ca="1">T41/'January 1, 2027'!T41</f>
        <v>1.03</v>
      </c>
      <c r="AB41" s="279">
        <f ca="1">U41/'January 1, 2027'!U41</f>
        <v>1.0300000000000002</v>
      </c>
      <c r="AC41" s="279">
        <f ca="1">V41/'January 1, 2027'!V41</f>
        <v>1.03</v>
      </c>
      <c r="AK41" s="165" t="str">
        <f t="shared" si="9"/>
        <v>Non FF  18th year of service</v>
      </c>
      <c r="AL41" s="165"/>
      <c r="AM41" s="165"/>
      <c r="AN41" s="206">
        <f t="shared" ca="1" si="12"/>
        <v>2.6840000000000002</v>
      </c>
      <c r="AO41" s="206">
        <f t="shared" ca="1" si="12"/>
        <v>3.6640000000000001</v>
      </c>
    </row>
    <row r="42" spans="1:41" ht="17.25" customHeight="1">
      <c r="A42" s="56">
        <f t="shared" ca="1" si="10"/>
        <v>321.88152240722587</v>
      </c>
      <c r="B42" s="52" t="s">
        <v>173</v>
      </c>
      <c r="P42" s="210"/>
      <c r="Q42" s="210"/>
      <c r="R42" s="219" t="s">
        <v>287</v>
      </c>
      <c r="S42" s="227" t="str">
        <f t="shared" si="11"/>
        <v>Non FF  19th year of service</v>
      </c>
      <c r="T42" s="265">
        <f ca="1">'January 1, 2027'!T42*IncreasePerc2027</f>
        <v>321.88152240722587</v>
      </c>
      <c r="U42" s="220">
        <f t="shared" ca="1" si="13"/>
        <v>2.9476329890771598</v>
      </c>
      <c r="V42" s="220">
        <f t="shared" ca="1" si="14"/>
        <v>4.0235190300903234</v>
      </c>
      <c r="W42" s="224"/>
      <c r="Y42" s="225"/>
      <c r="AA42" s="279">
        <f ca="1">T42/'January 1, 2027'!T42</f>
        <v>1.03</v>
      </c>
      <c r="AB42" s="279">
        <f ca="1">U42/'January 1, 2027'!U42</f>
        <v>1.03</v>
      </c>
      <c r="AC42" s="279">
        <f ca="1">V42/'January 1, 2027'!V42</f>
        <v>1.03</v>
      </c>
      <c r="AK42" s="165" t="str">
        <f t="shared" si="9"/>
        <v>Non FF  19th year of service</v>
      </c>
      <c r="AL42" s="165"/>
      <c r="AM42" s="165"/>
      <c r="AN42" s="206">
        <f t="shared" ca="1" si="12"/>
        <v>2.948</v>
      </c>
      <c r="AO42" s="206">
        <f t="shared" ca="1" si="12"/>
        <v>4.024</v>
      </c>
    </row>
    <row r="43" spans="1:41" ht="17.25" customHeight="1">
      <c r="A43" s="56">
        <f t="shared" ca="1" si="10"/>
        <v>404.40120258876152</v>
      </c>
      <c r="B43" s="52" t="s">
        <v>174</v>
      </c>
      <c r="P43" s="210"/>
      <c r="Q43" s="210"/>
      <c r="R43" s="219" t="s">
        <v>287</v>
      </c>
      <c r="S43" s="227" t="str">
        <f t="shared" si="11"/>
        <v>Non FF  20th year of service</v>
      </c>
      <c r="T43" s="265">
        <f ca="1">'January 1, 2027'!T43*IncreasePerc2027</f>
        <v>404.40120258876152</v>
      </c>
      <c r="U43" s="220">
        <f t="shared" ca="1" si="13"/>
        <v>3.7033077160142995</v>
      </c>
      <c r="V43" s="220">
        <f t="shared" ca="1" si="14"/>
        <v>5.0550150323595187</v>
      </c>
      <c r="W43" s="224"/>
      <c r="Y43" s="225"/>
      <c r="AA43" s="279">
        <f ca="1">T43/'January 1, 2027'!T43</f>
        <v>1.03</v>
      </c>
      <c r="AB43" s="279">
        <f ca="1">U43/'January 1, 2027'!U43</f>
        <v>1.03</v>
      </c>
      <c r="AC43" s="279">
        <f ca="1">V43/'January 1, 2027'!V43</f>
        <v>1.0299999999999998</v>
      </c>
      <c r="AK43" s="165" t="str">
        <f t="shared" si="9"/>
        <v>Non FF  20th year of service</v>
      </c>
      <c r="AL43" s="165"/>
      <c r="AM43" s="165"/>
      <c r="AN43" s="206">
        <f t="shared" ca="1" si="12"/>
        <v>3.7029999999999998</v>
      </c>
      <c r="AO43" s="206">
        <f t="shared" ca="1" si="12"/>
        <v>5.0549999999999997</v>
      </c>
    </row>
    <row r="44" spans="1:41" ht="17.25" customHeight="1">
      <c r="A44" s="56">
        <f t="shared" ca="1" si="10"/>
        <v>414.55185351374695</v>
      </c>
      <c r="B44" s="52" t="s">
        <v>175</v>
      </c>
      <c r="P44" s="210"/>
      <c r="Q44" s="210"/>
      <c r="R44" s="219" t="s">
        <v>287</v>
      </c>
      <c r="S44" s="227" t="str">
        <f t="shared" si="11"/>
        <v>Non FF  21st year of service</v>
      </c>
      <c r="T44" s="265">
        <f ca="1">'January 1, 2027'!T44*IncreasePerc2027</f>
        <v>414.55185351374695</v>
      </c>
      <c r="U44" s="220">
        <f t="shared" ca="1" si="13"/>
        <v>3.7962623948145322</v>
      </c>
      <c r="V44" s="220">
        <f t="shared" ca="1" si="14"/>
        <v>5.1818981689218369</v>
      </c>
      <c r="W44" s="224"/>
      <c r="Y44" s="225"/>
      <c r="AA44" s="279">
        <f ca="1">T44/'January 1, 2027'!T44</f>
        <v>1.03</v>
      </c>
      <c r="AB44" s="279">
        <f ca="1">U44/'January 1, 2027'!U44</f>
        <v>1.03</v>
      </c>
      <c r="AC44" s="279">
        <f ca="1">V44/'January 1, 2027'!V44</f>
        <v>1.03</v>
      </c>
      <c r="AK44" s="165" t="str">
        <f t="shared" si="9"/>
        <v>Non FF  21st year of service</v>
      </c>
      <c r="AL44" s="165"/>
      <c r="AM44" s="165"/>
      <c r="AN44" s="206">
        <f t="shared" ca="1" si="12"/>
        <v>3.7959999999999998</v>
      </c>
      <c r="AO44" s="206">
        <f t="shared" ca="1" si="12"/>
        <v>5.1820000000000004</v>
      </c>
    </row>
    <row r="45" spans="1:41" ht="17.25" customHeight="1">
      <c r="A45" s="56">
        <f t="shared" ca="1" si="10"/>
        <v>424.70250443873209</v>
      </c>
      <c r="B45" s="52" t="s">
        <v>176</v>
      </c>
      <c r="P45" s="210"/>
      <c r="Q45" s="210"/>
      <c r="R45" s="219" t="s">
        <v>287</v>
      </c>
      <c r="S45" s="227" t="str">
        <f t="shared" si="11"/>
        <v>Non FF  22nd year of service</v>
      </c>
      <c r="T45" s="265">
        <f ca="1">'January 1, 2027'!T45*IncreasePerc2027</f>
        <v>424.70250443873209</v>
      </c>
      <c r="U45" s="220">
        <f t="shared" ca="1" si="13"/>
        <v>3.8892170736147627</v>
      </c>
      <c r="V45" s="220">
        <f t="shared" ca="1" si="14"/>
        <v>5.3087813054841515</v>
      </c>
      <c r="W45" s="224"/>
      <c r="Y45" s="225"/>
      <c r="AA45" s="279">
        <f ca="1">T45/'January 1, 2027'!T45</f>
        <v>1.03</v>
      </c>
      <c r="AB45" s="279">
        <f ca="1">U45/'January 1, 2027'!U45</f>
        <v>1.03</v>
      </c>
      <c r="AC45" s="279">
        <f ca="1">V45/'January 1, 2027'!V45</f>
        <v>1.0300000000000002</v>
      </c>
      <c r="AK45" s="165" t="str">
        <f t="shared" si="9"/>
        <v>Non FF  22nd year of service</v>
      </c>
      <c r="AL45" s="165"/>
      <c r="AM45" s="165"/>
      <c r="AN45" s="206">
        <f t="shared" ca="1" si="12"/>
        <v>3.8889999999999998</v>
      </c>
      <c r="AO45" s="206">
        <f t="shared" ca="1" si="12"/>
        <v>5.3090000000000002</v>
      </c>
    </row>
    <row r="46" spans="1:41" ht="17.25" customHeight="1">
      <c r="A46" s="56">
        <f t="shared" ca="1" si="10"/>
        <v>434.85315536371866</v>
      </c>
      <c r="B46" s="52" t="s">
        <v>177</v>
      </c>
      <c r="P46" s="210"/>
      <c r="Q46" s="210"/>
      <c r="R46" s="219" t="s">
        <v>287</v>
      </c>
      <c r="S46" s="227" t="str">
        <f t="shared" si="11"/>
        <v>Non FF  23rd year of service</v>
      </c>
      <c r="T46" s="265">
        <f ca="1">'January 1, 2027'!T46*IncreasePerc2027</f>
        <v>434.85315536371866</v>
      </c>
      <c r="U46" s="220">
        <f t="shared" ca="1" si="13"/>
        <v>3.982171752415006</v>
      </c>
      <c r="V46" s="220">
        <f t="shared" ca="1" si="14"/>
        <v>5.435664442046483</v>
      </c>
      <c r="W46" s="224"/>
      <c r="Y46" s="225"/>
      <c r="AA46" s="279">
        <f ca="1">T46/'January 1, 2027'!T46</f>
        <v>1.03</v>
      </c>
      <c r="AB46" s="279">
        <f ca="1">U46/'January 1, 2027'!U46</f>
        <v>1.03</v>
      </c>
      <c r="AC46" s="279">
        <f ca="1">V46/'January 1, 2027'!V46</f>
        <v>1.03</v>
      </c>
      <c r="AK46" s="165" t="str">
        <f t="shared" si="9"/>
        <v>Non FF  23rd year of service</v>
      </c>
      <c r="AL46" s="165"/>
      <c r="AM46" s="165"/>
      <c r="AN46" s="206">
        <f t="shared" ref="AN46:AO48" ca="1" si="15">ROUND(U46,3)</f>
        <v>3.9820000000000002</v>
      </c>
      <c r="AO46" s="206">
        <f t="shared" ca="1" si="15"/>
        <v>5.4359999999999999</v>
      </c>
    </row>
    <row r="47" spans="1:41" ht="17.25" customHeight="1">
      <c r="A47" s="56">
        <f t="shared" ca="1" si="10"/>
        <v>445.0038062887038</v>
      </c>
      <c r="B47" s="52" t="s">
        <v>178</v>
      </c>
      <c r="P47" s="210"/>
      <c r="Q47" s="210"/>
      <c r="R47" s="219" t="s">
        <v>287</v>
      </c>
      <c r="S47" s="227" t="str">
        <f t="shared" si="11"/>
        <v>Non FF  24th year of service</v>
      </c>
      <c r="T47" s="265">
        <f ca="1">'January 1, 2027'!T47*IncreasePerc2027</f>
        <v>445.0038062887038</v>
      </c>
      <c r="U47" s="220">
        <f t="shared" ca="1" si="13"/>
        <v>4.075126431215236</v>
      </c>
      <c r="V47" s="220">
        <f t="shared" ca="1" si="14"/>
        <v>5.5625475786087977</v>
      </c>
      <c r="W47" s="224"/>
      <c r="Y47" s="225"/>
      <c r="AA47" s="279">
        <f ca="1">T47/'January 1, 2027'!T47</f>
        <v>1.03</v>
      </c>
      <c r="AB47" s="279">
        <f ca="1">U47/'January 1, 2027'!U47</f>
        <v>1.03</v>
      </c>
      <c r="AC47" s="279">
        <f ca="1">V47/'January 1, 2027'!V47</f>
        <v>1.03</v>
      </c>
      <c r="AK47" s="165" t="str">
        <f t="shared" si="9"/>
        <v>Non FF  24th year of service</v>
      </c>
      <c r="AL47" s="165"/>
      <c r="AM47" s="165"/>
      <c r="AN47" s="206">
        <f t="shared" ca="1" si="15"/>
        <v>4.0750000000000002</v>
      </c>
      <c r="AO47" s="206">
        <f t="shared" ca="1" si="15"/>
        <v>5.5629999999999997</v>
      </c>
    </row>
    <row r="48" spans="1:41" ht="17.25" customHeight="1">
      <c r="A48" s="56">
        <f t="shared" ca="1" si="10"/>
        <v>486.15410698100078</v>
      </c>
      <c r="B48" s="52" t="s">
        <v>179</v>
      </c>
      <c r="P48" s="210"/>
      <c r="Q48" s="210"/>
      <c r="R48" s="219" t="s">
        <v>287</v>
      </c>
      <c r="S48" s="227" t="str">
        <f t="shared" si="11"/>
        <v>Non FF  25th year of service</v>
      </c>
      <c r="T48" s="265">
        <f ca="1">'January 1, 2027'!T48*IncreasePerc2027</f>
        <v>486.15410698100078</v>
      </c>
      <c r="U48" s="220">
        <f t="shared" ca="1" si="13"/>
        <v>4.4519606866392012</v>
      </c>
      <c r="V48" s="220">
        <f t="shared" ca="1" si="14"/>
        <v>6.0769263372625097</v>
      </c>
      <c r="W48" s="224"/>
      <c r="Y48" s="225"/>
      <c r="AA48" s="279">
        <f ca="1">T48/'January 1, 2027'!T48</f>
        <v>1.03</v>
      </c>
      <c r="AB48" s="279">
        <f ca="1">U48/'January 1, 2027'!U48</f>
        <v>1.03</v>
      </c>
      <c r="AC48" s="279">
        <f ca="1">V48/'January 1, 2027'!V48</f>
        <v>1.03</v>
      </c>
      <c r="AK48" s="165" t="str">
        <f t="shared" si="9"/>
        <v>Non FF  25th year of service</v>
      </c>
      <c r="AL48" s="165"/>
      <c r="AM48" s="165"/>
      <c r="AN48" s="206">
        <f t="shared" ca="1" si="15"/>
        <v>4.452</v>
      </c>
      <c r="AO48" s="206">
        <f t="shared" ca="1" si="15"/>
        <v>6.077</v>
      </c>
    </row>
    <row r="49" spans="1:41">
      <c r="A49" s="261"/>
      <c r="B49" s="52"/>
      <c r="P49" s="210"/>
      <c r="Q49" s="210"/>
      <c r="R49" s="223"/>
      <c r="U49" s="223"/>
      <c r="V49" s="210"/>
      <c r="W49" s="210"/>
      <c r="AA49" s="279"/>
      <c r="AB49" s="279"/>
      <c r="AC49" s="279"/>
      <c r="AN49" s="209"/>
      <c r="AO49" s="209"/>
    </row>
    <row r="50" spans="1:41" ht="27.75" customHeight="1">
      <c r="A50" s="262" t="s">
        <v>136</v>
      </c>
      <c r="B50" s="42" t="s">
        <v>181</v>
      </c>
      <c r="P50" s="210"/>
      <c r="Q50" s="210"/>
      <c r="R50" s="268" t="s">
        <v>286</v>
      </c>
      <c r="S50" s="269" t="s">
        <v>297</v>
      </c>
      <c r="T50" s="267"/>
      <c r="U50" s="216" t="s">
        <v>232</v>
      </c>
      <c r="V50" s="216" t="s">
        <v>233</v>
      </c>
      <c r="W50" s="210"/>
      <c r="AA50" s="279"/>
      <c r="AB50" s="279"/>
      <c r="AC50" s="279"/>
      <c r="AK50" s="207" t="s">
        <v>297</v>
      </c>
      <c r="AL50" s="165"/>
      <c r="AM50" s="207"/>
      <c r="AN50" s="208" t="str">
        <f>U50</f>
        <v>CFH/109.2</v>
      </c>
      <c r="AO50" s="208" t="str">
        <f>V50</f>
        <v>CFI/80</v>
      </c>
    </row>
    <row r="51" spans="1:41" ht="17.25" customHeight="1">
      <c r="A51" s="56">
        <f ca="1">T51</f>
        <v>22.346037288097378</v>
      </c>
      <c r="B51" s="52" t="s">
        <v>161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140"/>
      <c r="P51" s="210"/>
      <c r="Q51" s="210"/>
      <c r="R51" s="219" t="s">
        <v>287</v>
      </c>
      <c r="S51" s="227" t="str">
        <f t="shared" ref="S51:S70" si="16">"FF "&amp;B51</f>
        <v>FF  7th year of service</v>
      </c>
      <c r="T51" s="265">
        <f ca="1">'January 1, 2027'!T51*'January 1, 2028'!IncrPerc2025</f>
        <v>22.346037288097378</v>
      </c>
      <c r="U51" s="220">
        <f t="shared" ref="U51:U70" ca="1" si="17">T51/109.2</f>
        <v>0.20463404109979283</v>
      </c>
      <c r="V51" s="220">
        <f t="shared" ref="V51:V70" ca="1" si="18">T51/80</f>
        <v>0.27932546610121722</v>
      </c>
      <c r="W51" s="224"/>
      <c r="AA51" s="279">
        <f ca="1">T51/'January 1, 2027'!T51</f>
        <v>1.03</v>
      </c>
      <c r="AB51" s="279">
        <f ca="1">U51/'January 1, 2027'!U51</f>
        <v>1.03</v>
      </c>
      <c r="AC51" s="279">
        <f ca="1">V51/'January 1, 2027'!V51</f>
        <v>1.03</v>
      </c>
      <c r="AK51" s="165" t="str">
        <f t="shared" ref="AK51:AK70" si="19">S51</f>
        <v>FF  7th year of service</v>
      </c>
      <c r="AL51" s="165"/>
      <c r="AM51" s="165"/>
      <c r="AN51" s="206">
        <f t="shared" ref="AN51:AO70" ca="1" si="20">ROUND(U51,3)</f>
        <v>0.20499999999999999</v>
      </c>
      <c r="AO51" s="206">
        <f t="shared" ca="1" si="20"/>
        <v>0.27900000000000003</v>
      </c>
    </row>
    <row r="52" spans="1:41" ht="17.25" customHeight="1">
      <c r="A52" s="56">
        <f t="shared" ref="A52:A70" ca="1" si="21">T52</f>
        <v>31.693399290961555</v>
      </c>
      <c r="B52" s="52" t="s">
        <v>162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140"/>
      <c r="P52" s="210"/>
      <c r="Q52" s="210"/>
      <c r="R52" s="219" t="s">
        <v>287</v>
      </c>
      <c r="S52" s="227" t="str">
        <f t="shared" si="16"/>
        <v>FF  8th year of service</v>
      </c>
      <c r="T52" s="265">
        <f ca="1">'January 1, 2027'!T52*'January 1, 2028'!IncrPerc2025</f>
        <v>31.693399290961555</v>
      </c>
      <c r="U52" s="220">
        <f t="shared" ca="1" si="17"/>
        <v>0.29023259423957465</v>
      </c>
      <c r="V52" s="220">
        <f t="shared" ca="1" si="18"/>
        <v>0.39616749113701943</v>
      </c>
      <c r="W52" s="224"/>
      <c r="Y52" s="225"/>
      <c r="AA52" s="279">
        <f ca="1">T52/'January 1, 2027'!T52</f>
        <v>1.03</v>
      </c>
      <c r="AB52" s="279">
        <f ca="1">U52/'January 1, 2027'!U52</f>
        <v>1.0299999999999998</v>
      </c>
      <c r="AC52" s="279">
        <f ca="1">V52/'January 1, 2027'!V52</f>
        <v>1.03</v>
      </c>
      <c r="AK52" s="165" t="str">
        <f t="shared" si="19"/>
        <v>FF  8th year of service</v>
      </c>
      <c r="AL52" s="165"/>
      <c r="AM52" s="165"/>
      <c r="AN52" s="206">
        <f t="shared" ca="1" si="20"/>
        <v>0.28999999999999998</v>
      </c>
      <c r="AO52" s="206">
        <f t="shared" ca="1" si="20"/>
        <v>0.39600000000000002</v>
      </c>
    </row>
    <row r="53" spans="1:41" ht="17.25" customHeight="1">
      <c r="A53" s="56">
        <f t="shared" ca="1" si="21"/>
        <v>41.040761293825859</v>
      </c>
      <c r="B53" s="52" t="s">
        <v>163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140"/>
      <c r="P53" s="210"/>
      <c r="Q53" s="210"/>
      <c r="R53" s="219" t="s">
        <v>287</v>
      </c>
      <c r="S53" s="227" t="str">
        <f t="shared" si="16"/>
        <v>FF  9th year of service</v>
      </c>
      <c r="T53" s="265">
        <f ca="1">'January 1, 2027'!T53*'January 1, 2028'!IncrPerc2025</f>
        <v>41.040761293825859</v>
      </c>
      <c r="U53" s="220">
        <f t="shared" ca="1" si="17"/>
        <v>0.37583114737935769</v>
      </c>
      <c r="V53" s="220">
        <f t="shared" ca="1" si="18"/>
        <v>0.5130095161728232</v>
      </c>
      <c r="W53" s="224"/>
      <c r="Y53" s="225"/>
      <c r="AA53" s="279">
        <f ca="1">T53/'January 1, 2027'!T53</f>
        <v>1.03</v>
      </c>
      <c r="AB53" s="279">
        <f ca="1">U53/'January 1, 2027'!U53</f>
        <v>1.03</v>
      </c>
      <c r="AC53" s="279">
        <f ca="1">V53/'January 1, 2027'!V53</f>
        <v>1.03</v>
      </c>
      <c r="AK53" s="165" t="str">
        <f t="shared" si="19"/>
        <v>FF  9th year of service</v>
      </c>
      <c r="AL53" s="165"/>
      <c r="AM53" s="165"/>
      <c r="AN53" s="206">
        <f t="shared" ca="1" si="20"/>
        <v>0.376</v>
      </c>
      <c r="AO53" s="206">
        <f t="shared" ca="1" si="20"/>
        <v>0.51300000000000001</v>
      </c>
    </row>
    <row r="54" spans="1:41" ht="17.25" customHeight="1">
      <c r="A54" s="56">
        <f t="shared" ca="1" si="21"/>
        <v>50.388123296690175</v>
      </c>
      <c r="B54" s="52" t="s">
        <v>164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140"/>
      <c r="P54" s="210"/>
      <c r="Q54" s="210"/>
      <c r="R54" s="219" t="s">
        <v>287</v>
      </c>
      <c r="S54" s="227" t="str">
        <f t="shared" si="16"/>
        <v>FF  10th year of service</v>
      </c>
      <c r="T54" s="265">
        <f ca="1">'January 1, 2027'!T54*'January 1, 2028'!IncrPerc2025</f>
        <v>50.388123296690175</v>
      </c>
      <c r="U54" s="220">
        <f t="shared" ca="1" si="17"/>
        <v>0.46142970051914078</v>
      </c>
      <c r="V54" s="220">
        <f t="shared" ca="1" si="18"/>
        <v>0.62985154120862719</v>
      </c>
      <c r="W54" s="224"/>
      <c r="Y54" s="225"/>
      <c r="AA54" s="279">
        <f ca="1">T54/'January 1, 2027'!T54</f>
        <v>1.03</v>
      </c>
      <c r="AB54" s="279">
        <f ca="1">U54/'January 1, 2027'!U54</f>
        <v>1.03</v>
      </c>
      <c r="AC54" s="279">
        <f ca="1">V54/'January 1, 2027'!V54</f>
        <v>1.03</v>
      </c>
      <c r="AK54" s="165" t="str">
        <f t="shared" si="19"/>
        <v>FF  10th year of service</v>
      </c>
      <c r="AL54" s="165"/>
      <c r="AM54" s="165"/>
      <c r="AN54" s="206">
        <f t="shared" ca="1" si="20"/>
        <v>0.46100000000000002</v>
      </c>
      <c r="AO54" s="206">
        <f t="shared" ca="1" si="20"/>
        <v>0.63</v>
      </c>
    </row>
    <row r="55" spans="1:41" ht="17.25" customHeight="1">
      <c r="A55" s="56">
        <f t="shared" ca="1" si="21"/>
        <v>59.735485299554362</v>
      </c>
      <c r="B55" s="52" t="s">
        <v>165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140"/>
      <c r="P55" s="210"/>
      <c r="Q55" s="210"/>
      <c r="R55" s="219" t="s">
        <v>287</v>
      </c>
      <c r="S55" s="227" t="str">
        <f t="shared" si="16"/>
        <v>FF  11th year of service</v>
      </c>
      <c r="T55" s="265">
        <f ca="1">'January 1, 2027'!T55*'January 1, 2028'!IncrPerc2025</f>
        <v>59.735485299554362</v>
      </c>
      <c r="U55" s="220">
        <f t="shared" ca="1" si="17"/>
        <v>0.54702825365892271</v>
      </c>
      <c r="V55" s="220">
        <f t="shared" ca="1" si="18"/>
        <v>0.74669356624442951</v>
      </c>
      <c r="W55" s="224"/>
      <c r="Y55" s="225"/>
      <c r="AA55" s="279">
        <f ca="1">T55/'January 1, 2027'!T55</f>
        <v>1.03</v>
      </c>
      <c r="AB55" s="279">
        <f ca="1">U55/'January 1, 2027'!U55</f>
        <v>1.03</v>
      </c>
      <c r="AC55" s="279">
        <f ca="1">V55/'January 1, 2027'!V55</f>
        <v>1.03</v>
      </c>
      <c r="AK55" s="165" t="str">
        <f t="shared" si="19"/>
        <v>FF  11th year of service</v>
      </c>
      <c r="AL55" s="165"/>
      <c r="AM55" s="165"/>
      <c r="AN55" s="206">
        <f t="shared" ca="1" si="20"/>
        <v>0.54700000000000004</v>
      </c>
      <c r="AO55" s="206">
        <f t="shared" ca="1" si="20"/>
        <v>0.747</v>
      </c>
    </row>
    <row r="56" spans="1:41" ht="17.25" customHeight="1">
      <c r="A56" s="56">
        <f t="shared" ca="1" si="21"/>
        <v>180.53918524672824</v>
      </c>
      <c r="B56" s="52" t="s">
        <v>166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140"/>
      <c r="P56" s="210"/>
      <c r="Q56" s="210"/>
      <c r="R56" s="219" t="s">
        <v>287</v>
      </c>
      <c r="S56" s="227" t="str">
        <f t="shared" si="16"/>
        <v>FF  12th year of service</v>
      </c>
      <c r="T56" s="265">
        <f ca="1">'January 1, 2027'!T56*'January 1, 2028'!IncrPerc2025</f>
        <v>180.53918524672824</v>
      </c>
      <c r="U56" s="220">
        <f t="shared" ca="1" si="17"/>
        <v>1.653289242186156</v>
      </c>
      <c r="V56" s="220">
        <f t="shared" ca="1" si="18"/>
        <v>2.256739815584103</v>
      </c>
      <c r="W56" s="224"/>
      <c r="Y56" s="225"/>
      <c r="AA56" s="279">
        <f ca="1">T56/'January 1, 2027'!T56</f>
        <v>1.03</v>
      </c>
      <c r="AB56" s="279">
        <f ca="1">U56/'January 1, 2027'!U56</f>
        <v>1.03</v>
      </c>
      <c r="AC56" s="279">
        <f ca="1">V56/'January 1, 2027'!V56</f>
        <v>1.03</v>
      </c>
      <c r="AK56" s="165" t="str">
        <f t="shared" si="19"/>
        <v>FF  12th year of service</v>
      </c>
      <c r="AL56" s="165"/>
      <c r="AM56" s="165"/>
      <c r="AN56" s="206">
        <f t="shared" ca="1" si="20"/>
        <v>1.653</v>
      </c>
      <c r="AO56" s="206">
        <f t="shared" ca="1" si="20"/>
        <v>2.2570000000000001</v>
      </c>
    </row>
    <row r="57" spans="1:41" ht="17.25" customHeight="1">
      <c r="A57" s="56">
        <f t="shared" ca="1" si="21"/>
        <v>190.68983617171344</v>
      </c>
      <c r="B57" s="52" t="s">
        <v>167</v>
      </c>
      <c r="P57" s="210"/>
      <c r="Q57" s="210"/>
      <c r="R57" s="219" t="s">
        <v>287</v>
      </c>
      <c r="S57" s="227" t="str">
        <f t="shared" si="16"/>
        <v>FF  13th year of service</v>
      </c>
      <c r="T57" s="265">
        <f ca="1">'January 1, 2027'!T57*'January 1, 2028'!IncrPerc2025</f>
        <v>190.68983617171344</v>
      </c>
      <c r="U57" s="220">
        <f t="shared" ca="1" si="17"/>
        <v>1.7462439209863867</v>
      </c>
      <c r="V57" s="220">
        <f t="shared" ca="1" si="18"/>
        <v>2.3836229521464181</v>
      </c>
      <c r="W57" s="224"/>
      <c r="Y57" s="225"/>
      <c r="AA57" s="279">
        <f ca="1">T57/'January 1, 2027'!T57</f>
        <v>1.03</v>
      </c>
      <c r="AB57" s="279">
        <f ca="1">U57/'January 1, 2027'!U57</f>
        <v>1.03</v>
      </c>
      <c r="AC57" s="279">
        <f ca="1">V57/'January 1, 2027'!V57</f>
        <v>1.03</v>
      </c>
      <c r="AK57" s="165" t="str">
        <f t="shared" si="19"/>
        <v>FF  13th year of service</v>
      </c>
      <c r="AL57" s="165"/>
      <c r="AM57" s="165"/>
      <c r="AN57" s="206">
        <f t="shared" ca="1" si="20"/>
        <v>1.746</v>
      </c>
      <c r="AO57" s="206">
        <f t="shared" ca="1" si="20"/>
        <v>2.3839999999999999</v>
      </c>
    </row>
    <row r="58" spans="1:41" ht="17.25" customHeight="1">
      <c r="A58" s="56">
        <f t="shared" ca="1" si="21"/>
        <v>200.82223053028656</v>
      </c>
      <c r="B58" s="52" t="s">
        <v>168</v>
      </c>
      <c r="P58" s="210"/>
      <c r="Q58" s="210"/>
      <c r="R58" s="219" t="s">
        <v>287</v>
      </c>
      <c r="S58" s="227" t="str">
        <f t="shared" si="16"/>
        <v>FF  14th year of service</v>
      </c>
      <c r="T58" s="265">
        <f ca="1">'January 1, 2027'!T58*'January 1, 2028'!IncrPerc2025</f>
        <v>200.82223053028656</v>
      </c>
      <c r="U58" s="220">
        <f t="shared" ca="1" si="17"/>
        <v>1.8390314151125142</v>
      </c>
      <c r="V58" s="220">
        <f t="shared" ca="1" si="18"/>
        <v>2.510277881628582</v>
      </c>
      <c r="W58" s="224"/>
      <c r="Y58" s="225"/>
      <c r="AA58" s="279">
        <f ca="1">T58/'January 1, 2027'!T58</f>
        <v>1.03</v>
      </c>
      <c r="AB58" s="279">
        <f ca="1">U58/'January 1, 2027'!U58</f>
        <v>1.03</v>
      </c>
      <c r="AC58" s="279">
        <f ca="1">V58/'January 1, 2027'!V58</f>
        <v>1.03</v>
      </c>
      <c r="AK58" s="165" t="str">
        <f t="shared" si="19"/>
        <v>FF  14th year of service</v>
      </c>
      <c r="AL58" s="165"/>
      <c r="AM58" s="165"/>
      <c r="AN58" s="206">
        <f t="shared" ca="1" si="20"/>
        <v>1.839</v>
      </c>
      <c r="AO58" s="206">
        <f t="shared" ca="1" si="20"/>
        <v>2.5099999999999998</v>
      </c>
    </row>
    <row r="59" spans="1:41" ht="17.25" customHeight="1">
      <c r="A59" s="56">
        <f t="shared" ca="1" si="21"/>
        <v>262.67547753361492</v>
      </c>
      <c r="B59" s="52" t="s">
        <v>169</v>
      </c>
      <c r="P59" s="210"/>
      <c r="Q59" s="210"/>
      <c r="R59" s="219" t="s">
        <v>287</v>
      </c>
      <c r="S59" s="227" t="str">
        <f t="shared" si="16"/>
        <v>FF  15th year of service</v>
      </c>
      <c r="T59" s="265">
        <f ca="1">'January 1, 2027'!T59*'January 1, 2028'!IncrPerc2025</f>
        <v>262.67547753361492</v>
      </c>
      <c r="U59" s="220">
        <f t="shared" ca="1" si="17"/>
        <v>2.4054530909671694</v>
      </c>
      <c r="V59" s="220">
        <f t="shared" ca="1" si="18"/>
        <v>3.2834434691701864</v>
      </c>
      <c r="W59" s="224"/>
      <c r="Y59" s="225"/>
      <c r="AA59" s="279">
        <f ca="1">T59/'January 1, 2027'!T59</f>
        <v>1.03</v>
      </c>
      <c r="AB59" s="279">
        <f ca="1">U59/'January 1, 2027'!U59</f>
        <v>1.03</v>
      </c>
      <c r="AC59" s="279">
        <f ca="1">V59/'January 1, 2027'!V59</f>
        <v>1.0299999999999998</v>
      </c>
      <c r="AK59" s="165" t="str">
        <f t="shared" si="19"/>
        <v>FF  15th year of service</v>
      </c>
      <c r="AL59" s="165"/>
      <c r="AM59" s="165"/>
      <c r="AN59" s="206">
        <f t="shared" ca="1" si="20"/>
        <v>2.4049999999999998</v>
      </c>
      <c r="AO59" s="206">
        <f t="shared" ca="1" si="20"/>
        <v>3.2829999999999999</v>
      </c>
    </row>
    <row r="60" spans="1:41" ht="17.25" customHeight="1">
      <c r="A60" s="56">
        <f t="shared" ca="1" si="21"/>
        <v>272.80787189218813</v>
      </c>
      <c r="B60" s="52" t="s">
        <v>170</v>
      </c>
      <c r="P60" s="210"/>
      <c r="Q60" s="210"/>
      <c r="R60" s="219" t="s">
        <v>287</v>
      </c>
      <c r="S60" s="227" t="str">
        <f t="shared" si="16"/>
        <v>FF  16th year of service</v>
      </c>
      <c r="T60" s="265">
        <f ca="1">'January 1, 2027'!T60*'January 1, 2028'!IncrPerc2025</f>
        <v>272.80787189218813</v>
      </c>
      <c r="U60" s="220">
        <f t="shared" ca="1" si="17"/>
        <v>2.4982405850932978</v>
      </c>
      <c r="V60" s="220">
        <f t="shared" ca="1" si="18"/>
        <v>3.4100983986523516</v>
      </c>
      <c r="W60" s="224"/>
      <c r="Y60" s="225"/>
      <c r="AA60" s="279">
        <f ca="1">T60/'January 1, 2027'!T60</f>
        <v>1.03</v>
      </c>
      <c r="AB60" s="279">
        <f ca="1">U60/'January 1, 2027'!U60</f>
        <v>1.0300000000000002</v>
      </c>
      <c r="AC60" s="279">
        <f ca="1">V60/'January 1, 2027'!V60</f>
        <v>1.03</v>
      </c>
      <c r="AK60" s="165" t="str">
        <f t="shared" si="19"/>
        <v>FF  16th year of service</v>
      </c>
      <c r="AL60" s="165"/>
      <c r="AM60" s="165"/>
      <c r="AN60" s="206">
        <f t="shared" ca="1" si="20"/>
        <v>2.4980000000000002</v>
      </c>
      <c r="AO60" s="206">
        <f t="shared" ca="1" si="20"/>
        <v>3.41</v>
      </c>
    </row>
    <row r="61" spans="1:41" ht="17.25" customHeight="1">
      <c r="A61" s="56">
        <f t="shared" ca="1" si="21"/>
        <v>282.95852281717339</v>
      </c>
      <c r="B61" s="52" t="s">
        <v>171</v>
      </c>
      <c r="P61" s="210"/>
      <c r="Q61" s="210"/>
      <c r="R61" s="219" t="s">
        <v>287</v>
      </c>
      <c r="S61" s="227" t="str">
        <f t="shared" si="16"/>
        <v>FF  17th year of service</v>
      </c>
      <c r="T61" s="265">
        <f ca="1">'January 1, 2027'!T61*'January 1, 2028'!IncrPerc2025</f>
        <v>282.95852281717339</v>
      </c>
      <c r="U61" s="220">
        <f t="shared" ca="1" si="17"/>
        <v>2.5911952638935292</v>
      </c>
      <c r="V61" s="220">
        <f t="shared" ca="1" si="18"/>
        <v>3.5369815352146672</v>
      </c>
      <c r="W61" s="224"/>
      <c r="Y61" s="225"/>
      <c r="AA61" s="279">
        <f ca="1">T61/'January 1, 2027'!T61</f>
        <v>1.03</v>
      </c>
      <c r="AB61" s="279">
        <f ca="1">U61/'January 1, 2027'!U61</f>
        <v>1.03</v>
      </c>
      <c r="AC61" s="279">
        <f ca="1">V61/'January 1, 2027'!V61</f>
        <v>1.03</v>
      </c>
      <c r="AK61" s="165" t="str">
        <f t="shared" si="19"/>
        <v>FF  17th year of service</v>
      </c>
      <c r="AL61" s="165"/>
      <c r="AM61" s="165"/>
      <c r="AN61" s="206">
        <f t="shared" ca="1" si="20"/>
        <v>2.5910000000000002</v>
      </c>
      <c r="AO61" s="206">
        <f t="shared" ca="1" si="20"/>
        <v>3.5369999999999999</v>
      </c>
    </row>
    <row r="62" spans="1:41" ht="17.25" customHeight="1">
      <c r="A62" s="56">
        <f t="shared" ca="1" si="21"/>
        <v>293.10917374216001</v>
      </c>
      <c r="B62" s="52" t="s">
        <v>172</v>
      </c>
      <c r="P62" s="210"/>
      <c r="Q62" s="210"/>
      <c r="R62" s="219" t="s">
        <v>287</v>
      </c>
      <c r="S62" s="227" t="str">
        <f t="shared" si="16"/>
        <v>FF  18th year of service</v>
      </c>
      <c r="T62" s="265">
        <f ca="1">'January 1, 2027'!T62*'January 1, 2028'!IncrPerc2025</f>
        <v>293.10917374216001</v>
      </c>
      <c r="U62" s="220">
        <f t="shared" ca="1" si="17"/>
        <v>2.6841499426937729</v>
      </c>
      <c r="V62" s="220">
        <f t="shared" ca="1" si="18"/>
        <v>3.663864671777</v>
      </c>
      <c r="W62" s="224"/>
      <c r="Y62" s="225"/>
      <c r="AA62" s="279">
        <f ca="1">T62/'January 1, 2027'!T62</f>
        <v>1.03</v>
      </c>
      <c r="AB62" s="279">
        <f ca="1">U62/'January 1, 2027'!U62</f>
        <v>1.0300000000000002</v>
      </c>
      <c r="AC62" s="279">
        <f ca="1">V62/'January 1, 2027'!V62</f>
        <v>1.03</v>
      </c>
      <c r="AK62" s="165" t="str">
        <f t="shared" si="19"/>
        <v>FF  18th year of service</v>
      </c>
      <c r="AL62" s="165"/>
      <c r="AM62" s="165"/>
      <c r="AN62" s="206">
        <f t="shared" ca="1" si="20"/>
        <v>2.6840000000000002</v>
      </c>
      <c r="AO62" s="206">
        <f t="shared" ca="1" si="20"/>
        <v>3.6640000000000001</v>
      </c>
    </row>
    <row r="63" spans="1:41" ht="17.25" customHeight="1">
      <c r="A63" s="56">
        <f t="shared" ca="1" si="21"/>
        <v>321.88152240722587</v>
      </c>
      <c r="B63" s="52" t="s">
        <v>173</v>
      </c>
      <c r="P63" s="210"/>
      <c r="Q63" s="210"/>
      <c r="R63" s="219" t="s">
        <v>287</v>
      </c>
      <c r="S63" s="227" t="str">
        <f t="shared" si="16"/>
        <v>FF  19th year of service</v>
      </c>
      <c r="T63" s="265">
        <f ca="1">'January 1, 2027'!T63*'January 1, 2028'!IncrPerc2025</f>
        <v>321.88152240722587</v>
      </c>
      <c r="U63" s="220">
        <f t="shared" ca="1" si="17"/>
        <v>2.9476329890771598</v>
      </c>
      <c r="V63" s="220">
        <f t="shared" ca="1" si="18"/>
        <v>4.0235190300903234</v>
      </c>
      <c r="W63" s="224"/>
      <c r="Y63" s="225"/>
      <c r="AA63" s="279">
        <f ca="1">T63/'January 1, 2027'!T63</f>
        <v>1.03</v>
      </c>
      <c r="AB63" s="279">
        <f ca="1">U63/'January 1, 2027'!U63</f>
        <v>1.03</v>
      </c>
      <c r="AC63" s="279">
        <f ca="1">V63/'January 1, 2027'!V63</f>
        <v>1.03</v>
      </c>
      <c r="AK63" s="165" t="str">
        <f t="shared" si="19"/>
        <v>FF  19th year of service</v>
      </c>
      <c r="AL63" s="165"/>
      <c r="AM63" s="165"/>
      <c r="AN63" s="206">
        <f t="shared" ca="1" si="20"/>
        <v>2.948</v>
      </c>
      <c r="AO63" s="206">
        <f t="shared" ca="1" si="20"/>
        <v>4.024</v>
      </c>
    </row>
    <row r="64" spans="1:41" ht="17.25" customHeight="1">
      <c r="A64" s="56">
        <f t="shared" ca="1" si="21"/>
        <v>404.40120258876152</v>
      </c>
      <c r="B64" s="52" t="s">
        <v>174</v>
      </c>
      <c r="P64" s="210"/>
      <c r="Q64" s="210"/>
      <c r="R64" s="219" t="s">
        <v>287</v>
      </c>
      <c r="S64" s="227" t="str">
        <f t="shared" si="16"/>
        <v>FF  20th year of service</v>
      </c>
      <c r="T64" s="265">
        <f ca="1">'January 1, 2027'!T64*'January 1, 2028'!IncrPerc2025</f>
        <v>404.40120258876152</v>
      </c>
      <c r="U64" s="220">
        <f t="shared" ca="1" si="17"/>
        <v>3.7033077160142995</v>
      </c>
      <c r="V64" s="220">
        <f t="shared" ca="1" si="18"/>
        <v>5.0550150323595187</v>
      </c>
      <c r="W64" s="224"/>
      <c r="Y64" s="225"/>
      <c r="AA64" s="279">
        <f ca="1">T64/'January 1, 2027'!T64</f>
        <v>1.03</v>
      </c>
      <c r="AB64" s="279">
        <f ca="1">U64/'January 1, 2027'!U64</f>
        <v>1.03</v>
      </c>
      <c r="AC64" s="279">
        <f ca="1">V64/'January 1, 2027'!V64</f>
        <v>1.0299999999999998</v>
      </c>
      <c r="AK64" s="165" t="str">
        <f t="shared" si="19"/>
        <v>FF  20th year of service</v>
      </c>
      <c r="AL64" s="165"/>
      <c r="AM64" s="165"/>
      <c r="AN64" s="206">
        <f t="shared" ca="1" si="20"/>
        <v>3.7029999999999998</v>
      </c>
      <c r="AO64" s="206">
        <f t="shared" ca="1" si="20"/>
        <v>5.0549999999999997</v>
      </c>
    </row>
    <row r="65" spans="1:41" ht="17.25" customHeight="1">
      <c r="A65" s="56">
        <f t="shared" ca="1" si="21"/>
        <v>476.37181718424415</v>
      </c>
      <c r="B65" s="52" t="s">
        <v>175</v>
      </c>
      <c r="P65" s="210"/>
      <c r="Q65" s="210"/>
      <c r="R65" s="219" t="s">
        <v>287</v>
      </c>
      <c r="S65" s="227" t="str">
        <f t="shared" si="16"/>
        <v>FF  21st year of service</v>
      </c>
      <c r="T65" s="265">
        <f ca="1">'January 1, 2027'!T65*'January 1, 2028'!IncrPerc2025</f>
        <v>476.37181718424415</v>
      </c>
      <c r="U65" s="220">
        <f t="shared" ca="1" si="17"/>
        <v>4.3623792782439939</v>
      </c>
      <c r="V65" s="220">
        <f t="shared" ca="1" si="18"/>
        <v>5.9546477148030519</v>
      </c>
      <c r="W65" s="224"/>
      <c r="Y65" s="225"/>
      <c r="AA65" s="279">
        <f ca="1">T65/'January 1, 2027'!T65</f>
        <v>1.03</v>
      </c>
      <c r="AB65" s="279">
        <f ca="1">U65/'January 1, 2027'!U65</f>
        <v>1.0299999999999998</v>
      </c>
      <c r="AC65" s="279">
        <f ca="1">V65/'January 1, 2027'!V65</f>
        <v>1.03</v>
      </c>
      <c r="AK65" s="165" t="str">
        <f t="shared" si="19"/>
        <v>FF  21st year of service</v>
      </c>
      <c r="AL65" s="165"/>
      <c r="AM65" s="165"/>
      <c r="AN65" s="206">
        <f t="shared" ca="1" si="20"/>
        <v>4.3620000000000001</v>
      </c>
      <c r="AO65" s="206">
        <f t="shared" ca="1" si="20"/>
        <v>5.9550000000000001</v>
      </c>
    </row>
    <row r="66" spans="1:41" ht="17.25" customHeight="1">
      <c r="A66" s="56">
        <f t="shared" ca="1" si="21"/>
        <v>486.52246810922964</v>
      </c>
      <c r="B66" s="52" t="s">
        <v>176</v>
      </c>
      <c r="P66" s="210"/>
      <c r="Q66" s="210"/>
      <c r="R66" s="219" t="s">
        <v>287</v>
      </c>
      <c r="S66" s="227" t="str">
        <f t="shared" si="16"/>
        <v>FF  22nd year of service</v>
      </c>
      <c r="T66" s="265">
        <f ca="1">'January 1, 2027'!T66*'January 1, 2028'!IncrPerc2025</f>
        <v>486.52246810922964</v>
      </c>
      <c r="U66" s="220">
        <f t="shared" ca="1" si="17"/>
        <v>4.4553339570442274</v>
      </c>
      <c r="V66" s="220">
        <f t="shared" ca="1" si="18"/>
        <v>6.0815308513653701</v>
      </c>
      <c r="W66" s="224"/>
      <c r="Y66" s="225"/>
      <c r="AA66" s="279">
        <f ca="1">T66/'January 1, 2027'!T66</f>
        <v>1.03</v>
      </c>
      <c r="AB66" s="279">
        <f ca="1">U66/'January 1, 2027'!U66</f>
        <v>1.03</v>
      </c>
      <c r="AC66" s="279">
        <f ca="1">V66/'January 1, 2027'!V66</f>
        <v>1.03</v>
      </c>
      <c r="AK66" s="165" t="str">
        <f t="shared" si="19"/>
        <v>FF  22nd year of service</v>
      </c>
      <c r="AL66" s="165"/>
      <c r="AM66" s="165"/>
      <c r="AN66" s="206">
        <f t="shared" ca="1" si="20"/>
        <v>4.4550000000000001</v>
      </c>
      <c r="AO66" s="206">
        <f t="shared" ca="1" si="20"/>
        <v>6.0819999999999999</v>
      </c>
    </row>
    <row r="67" spans="1:41" ht="17.25" customHeight="1">
      <c r="A67" s="56">
        <f t="shared" ca="1" si="21"/>
        <v>496.67311903421518</v>
      </c>
      <c r="B67" s="52" t="s">
        <v>177</v>
      </c>
      <c r="P67" s="210"/>
      <c r="Q67" s="210"/>
      <c r="R67" s="219" t="s">
        <v>287</v>
      </c>
      <c r="S67" s="227" t="str">
        <f t="shared" si="16"/>
        <v>FF  23rd year of service</v>
      </c>
      <c r="T67" s="265">
        <f ca="1">'January 1, 2027'!T67*'January 1, 2028'!IncrPerc2025</f>
        <v>496.67311903421518</v>
      </c>
      <c r="U67" s="220">
        <f t="shared" ca="1" si="17"/>
        <v>4.548288635844461</v>
      </c>
      <c r="V67" s="220">
        <f t="shared" ca="1" si="18"/>
        <v>6.2084139879276901</v>
      </c>
      <c r="W67" s="224"/>
      <c r="Y67" s="225"/>
      <c r="AA67" s="279">
        <f ca="1">T67/'January 1, 2027'!T67</f>
        <v>1.03</v>
      </c>
      <c r="AB67" s="279">
        <f ca="1">U67/'January 1, 2027'!U67</f>
        <v>1.0299999999999998</v>
      </c>
      <c r="AC67" s="279">
        <f ca="1">V67/'January 1, 2027'!V67</f>
        <v>1.03</v>
      </c>
      <c r="AK67" s="165" t="str">
        <f t="shared" si="19"/>
        <v>FF  23rd year of service</v>
      </c>
      <c r="AL67" s="165"/>
      <c r="AM67" s="165"/>
      <c r="AN67" s="206">
        <f t="shared" ca="1" si="20"/>
        <v>4.548</v>
      </c>
      <c r="AO67" s="206">
        <f t="shared" ca="1" si="20"/>
        <v>6.2080000000000002</v>
      </c>
    </row>
    <row r="68" spans="1:41" ht="17.25" customHeight="1">
      <c r="A68" s="56">
        <f t="shared" ca="1" si="21"/>
        <v>506.82376995920055</v>
      </c>
      <c r="B68" s="52" t="s">
        <v>178</v>
      </c>
      <c r="P68" s="210"/>
      <c r="Q68" s="210"/>
      <c r="R68" s="219" t="s">
        <v>287</v>
      </c>
      <c r="S68" s="227" t="str">
        <f t="shared" si="16"/>
        <v>FF  24th year of service</v>
      </c>
      <c r="T68" s="265">
        <f ca="1">'January 1, 2027'!T68*'January 1, 2028'!IncrPerc2025</f>
        <v>506.82376995920055</v>
      </c>
      <c r="U68" s="220">
        <f t="shared" ca="1" si="17"/>
        <v>4.6412433146446936</v>
      </c>
      <c r="V68" s="220">
        <f t="shared" ca="1" si="18"/>
        <v>6.3352971244900065</v>
      </c>
      <c r="W68" s="224"/>
      <c r="Y68" s="225"/>
      <c r="AA68" s="279">
        <f ca="1">T68/'January 1, 2027'!T68</f>
        <v>1.03</v>
      </c>
      <c r="AB68" s="279">
        <f ca="1">U68/'January 1, 2027'!U68</f>
        <v>1.03</v>
      </c>
      <c r="AC68" s="279">
        <f ca="1">V68/'January 1, 2027'!V68</f>
        <v>1.0299999999999998</v>
      </c>
      <c r="AK68" s="165" t="str">
        <f t="shared" si="19"/>
        <v>FF  24th year of service</v>
      </c>
      <c r="AL68" s="165"/>
      <c r="AM68" s="165"/>
      <c r="AN68" s="206">
        <f t="shared" ca="1" si="20"/>
        <v>4.641</v>
      </c>
      <c r="AO68" s="206">
        <f t="shared" ca="1" si="20"/>
        <v>6.335</v>
      </c>
    </row>
    <row r="69" spans="1:41" ht="17.25" customHeight="1">
      <c r="A69" s="56">
        <f t="shared" ca="1" si="21"/>
        <v>547.97407065149753</v>
      </c>
      <c r="B69" s="52" t="s">
        <v>179</v>
      </c>
      <c r="P69" s="210"/>
      <c r="Q69" s="210"/>
      <c r="R69" s="219" t="s">
        <v>287</v>
      </c>
      <c r="S69" s="227" t="str">
        <f t="shared" si="16"/>
        <v>FF  25th year of service</v>
      </c>
      <c r="T69" s="265">
        <f ca="1">'January 1, 2027'!T69*'January 1, 2028'!IncrPerc2025</f>
        <v>547.97407065149753</v>
      </c>
      <c r="U69" s="220">
        <f t="shared" ca="1" si="17"/>
        <v>5.0180775700686588</v>
      </c>
      <c r="V69" s="220">
        <f t="shared" ca="1" si="18"/>
        <v>6.8496758831437194</v>
      </c>
      <c r="W69" s="224"/>
      <c r="Y69" s="225"/>
      <c r="AA69" s="279">
        <f ca="1">T69/'January 1, 2027'!T69</f>
        <v>1.03</v>
      </c>
      <c r="AB69" s="279">
        <f ca="1">U69/'January 1, 2027'!U69</f>
        <v>1.03</v>
      </c>
      <c r="AC69" s="279">
        <f ca="1">V69/'January 1, 2027'!V69</f>
        <v>1.03</v>
      </c>
      <c r="AK69" s="165" t="str">
        <f t="shared" si="19"/>
        <v>FF  25th year of service</v>
      </c>
      <c r="AL69" s="165"/>
      <c r="AM69" s="165"/>
      <c r="AN69" s="206">
        <f t="shared" ca="1" si="20"/>
        <v>5.0179999999999998</v>
      </c>
      <c r="AO69" s="206">
        <f t="shared" ca="1" si="20"/>
        <v>6.85</v>
      </c>
    </row>
    <row r="70" spans="1:41" ht="17.25" customHeight="1">
      <c r="A70" s="56">
        <f t="shared" ca="1" si="21"/>
        <v>627.68074223944586</v>
      </c>
      <c r="B70" s="52" t="s">
        <v>180</v>
      </c>
      <c r="P70" s="210"/>
      <c r="Q70" s="210"/>
      <c r="R70" s="219" t="s">
        <v>287</v>
      </c>
      <c r="S70" s="227" t="str">
        <f t="shared" si="16"/>
        <v>FF 26th year of service</v>
      </c>
      <c r="T70" s="265">
        <f ca="1">'January 1, 2027'!T70*'January 1, 2028'!IncrPerc2025</f>
        <v>627.68074223944586</v>
      </c>
      <c r="U70" s="220">
        <f t="shared" ca="1" si="17"/>
        <v>5.7479921450498708</v>
      </c>
      <c r="V70" s="220">
        <f t="shared" ca="1" si="18"/>
        <v>7.8460092779930735</v>
      </c>
      <c r="W70" s="224"/>
      <c r="Y70" s="225"/>
      <c r="AA70" s="279">
        <f ca="1">T70/'January 1, 2027'!T70</f>
        <v>1.03</v>
      </c>
      <c r="AB70" s="279">
        <f ca="1">U70/'January 1, 2027'!U70</f>
        <v>1.03</v>
      </c>
      <c r="AC70" s="279">
        <f ca="1">V70/'January 1, 2027'!V70</f>
        <v>1.03</v>
      </c>
      <c r="AK70" s="165" t="str">
        <f t="shared" si="19"/>
        <v>FF 26th year of service</v>
      </c>
      <c r="AL70" s="165"/>
      <c r="AM70" s="165"/>
      <c r="AN70" s="206">
        <f t="shared" ca="1" si="20"/>
        <v>5.7480000000000002</v>
      </c>
      <c r="AO70" s="206">
        <f t="shared" ca="1" si="20"/>
        <v>7.8460000000000001</v>
      </c>
    </row>
    <row r="71" spans="1:41">
      <c r="A71" s="41"/>
      <c r="B71" s="41"/>
      <c r="C71" s="41"/>
      <c r="D71" s="41"/>
      <c r="E71" s="41"/>
      <c r="F71" s="41"/>
      <c r="G71" s="41"/>
      <c r="H71" s="41"/>
      <c r="I71" s="41"/>
      <c r="J71" s="54"/>
      <c r="K71" s="54"/>
      <c r="L71" s="54"/>
      <c r="M71" s="54"/>
      <c r="N71" s="44"/>
      <c r="P71" s="212"/>
      <c r="AA71" s="281"/>
      <c r="AB71" s="281"/>
      <c r="AC71" s="281"/>
    </row>
    <row r="72" spans="1:41">
      <c r="A72" s="41"/>
      <c r="B72" s="41"/>
      <c r="C72" s="41"/>
      <c r="D72" s="41"/>
      <c r="E72" s="41"/>
      <c r="F72" s="41"/>
      <c r="G72" s="41"/>
      <c r="H72" s="41"/>
      <c r="I72" s="41"/>
      <c r="J72" s="54"/>
      <c r="K72" s="54"/>
      <c r="L72" s="54"/>
      <c r="M72" s="54"/>
      <c r="N72" s="44"/>
      <c r="P72" s="212"/>
    </row>
    <row r="73" spans="1:41">
      <c r="A73" s="41"/>
      <c r="B73" s="41"/>
      <c r="C73" s="41"/>
      <c r="D73" s="41"/>
      <c r="E73" s="41"/>
      <c r="F73" s="41"/>
      <c r="G73" s="41"/>
      <c r="H73" s="41"/>
      <c r="I73" s="41"/>
      <c r="J73" s="54"/>
      <c r="K73" s="54"/>
      <c r="L73" s="54"/>
      <c r="M73" s="54"/>
      <c r="N73" s="44"/>
      <c r="P73" s="212"/>
    </row>
    <row r="74" spans="1:41">
      <c r="A74" s="41"/>
      <c r="B74" s="41"/>
      <c r="C74" s="41"/>
      <c r="D74" s="41"/>
      <c r="E74" s="41"/>
      <c r="F74" s="41"/>
      <c r="G74" s="41"/>
      <c r="H74" s="41"/>
      <c r="I74" s="41"/>
      <c r="J74" s="54"/>
      <c r="K74" s="54"/>
      <c r="L74" s="54"/>
      <c r="M74" s="54"/>
      <c r="N74" s="44"/>
      <c r="P74" s="212"/>
    </row>
    <row r="75" spans="1:41">
      <c r="A75" s="41"/>
      <c r="B75" s="41"/>
      <c r="C75" s="41"/>
      <c r="D75" s="41"/>
      <c r="E75" s="41"/>
      <c r="F75" s="41"/>
      <c r="G75" s="41"/>
      <c r="H75" s="41"/>
      <c r="I75" s="41"/>
      <c r="J75" s="54"/>
      <c r="K75" s="54"/>
      <c r="L75" s="54"/>
      <c r="M75" s="54"/>
      <c r="N75" s="44"/>
      <c r="P75" s="212"/>
    </row>
    <row r="76" spans="1:41">
      <c r="A76" s="42" t="s">
        <v>311</v>
      </c>
      <c r="B76" s="41"/>
      <c r="C76" s="41"/>
      <c r="D76" s="41"/>
      <c r="E76" s="41"/>
      <c r="F76" s="41"/>
      <c r="G76" s="41"/>
      <c r="H76" s="41"/>
      <c r="I76" s="41"/>
      <c r="J76" s="54"/>
      <c r="K76" s="54"/>
      <c r="L76" s="54"/>
      <c r="M76" s="54"/>
      <c r="N76" s="46" t="s">
        <v>312</v>
      </c>
      <c r="P76" s="212"/>
    </row>
    <row r="77" spans="1:41">
      <c r="A77" s="41"/>
      <c r="B77" s="41"/>
      <c r="C77" s="41"/>
      <c r="D77" s="41"/>
      <c r="E77" s="41"/>
      <c r="F77" s="41"/>
      <c r="G77" s="41"/>
      <c r="H77" s="41"/>
      <c r="I77" s="41"/>
      <c r="J77" s="54"/>
      <c r="K77" s="54"/>
      <c r="L77" s="54"/>
      <c r="M77" s="54"/>
      <c r="N77" s="44"/>
      <c r="P77" s="212"/>
    </row>
    <row r="78" spans="1:41">
      <c r="A78" s="41"/>
      <c r="B78" s="41"/>
      <c r="C78" s="41"/>
      <c r="D78" s="41"/>
      <c r="E78" s="41"/>
      <c r="F78" s="41"/>
      <c r="G78" s="41"/>
      <c r="H78" s="41"/>
      <c r="I78" s="41"/>
      <c r="J78" s="54"/>
      <c r="K78" s="54"/>
      <c r="L78" s="54"/>
      <c r="M78" s="54"/>
      <c r="N78" s="44"/>
      <c r="P78" s="212"/>
    </row>
    <row r="79" spans="1:41">
      <c r="A79" s="41"/>
      <c r="B79" s="41"/>
      <c r="C79" s="41"/>
      <c r="D79" s="41"/>
      <c r="E79" s="41"/>
      <c r="F79" s="41"/>
      <c r="G79" s="41"/>
      <c r="H79" s="41"/>
      <c r="I79" s="41"/>
      <c r="J79" s="54"/>
      <c r="K79" s="54"/>
      <c r="L79" s="54"/>
      <c r="M79" s="54"/>
      <c r="N79" s="44"/>
      <c r="P79" s="212"/>
    </row>
    <row r="80" spans="1:41">
      <c r="B80" s="41"/>
      <c r="C80" s="41"/>
      <c r="D80" s="41"/>
      <c r="E80" s="41"/>
      <c r="F80" s="41"/>
      <c r="G80" s="41"/>
      <c r="H80" s="41"/>
      <c r="I80" s="41"/>
      <c r="J80" s="54"/>
      <c r="K80" s="54"/>
      <c r="L80" s="54"/>
      <c r="M80" s="54"/>
      <c r="N80" s="44"/>
      <c r="P80" s="212"/>
    </row>
    <row r="81" spans="1:15">
      <c r="A81" s="41"/>
      <c r="B81" s="52"/>
    </row>
    <row r="82" spans="1:15">
      <c r="A82" s="41"/>
    </row>
    <row r="83" spans="1:15">
      <c r="A83" s="51"/>
    </row>
    <row r="84" spans="1:15">
      <c r="A84" s="51"/>
      <c r="B84" s="288"/>
      <c r="C84" s="288"/>
      <c r="D84" s="288"/>
      <c r="E84" s="288"/>
      <c r="F84" s="288"/>
      <c r="G84" s="288"/>
      <c r="H84" s="288"/>
      <c r="I84" s="288"/>
      <c r="J84" s="288"/>
      <c r="K84" s="288"/>
      <c r="L84" s="288"/>
      <c r="M84" s="288"/>
      <c r="N84" s="288"/>
    </row>
    <row r="85" spans="1:15">
      <c r="A85" s="51"/>
      <c r="B85" s="288"/>
      <c r="C85" s="288"/>
      <c r="D85" s="288"/>
      <c r="E85" s="288"/>
      <c r="F85" s="288"/>
      <c r="G85" s="288"/>
      <c r="H85" s="288"/>
      <c r="I85" s="288"/>
      <c r="J85" s="288"/>
      <c r="K85" s="288"/>
      <c r="L85" s="288"/>
      <c r="M85" s="288"/>
      <c r="N85" s="288"/>
      <c r="O85" s="226"/>
    </row>
    <row r="86" spans="1:15">
      <c r="A86" s="51"/>
      <c r="B86" s="52"/>
      <c r="O86" s="226"/>
    </row>
    <row r="87" spans="1:15">
      <c r="A87" s="51"/>
      <c r="B87" s="52"/>
      <c r="O87" s="226"/>
    </row>
    <row r="88" spans="1:15">
      <c r="A88" s="51"/>
      <c r="B88" s="52"/>
      <c r="O88" s="226"/>
    </row>
    <row r="89" spans="1:15">
      <c r="A89" s="51"/>
      <c r="B89" s="52"/>
      <c r="O89" s="226"/>
    </row>
    <row r="90" spans="1:15">
      <c r="A90" s="51"/>
      <c r="B90" s="52"/>
      <c r="O90" s="226"/>
    </row>
    <row r="91" spans="1:15">
      <c r="A91" s="51"/>
      <c r="B91" s="52"/>
      <c r="O91" s="226"/>
    </row>
    <row r="92" spans="1:15">
      <c r="A92" s="51"/>
      <c r="B92" s="52"/>
      <c r="O92" s="226"/>
    </row>
    <row r="93" spans="1:15">
      <c r="A93" s="51"/>
      <c r="B93" s="52"/>
      <c r="O93" s="226"/>
    </row>
    <row r="94" spans="1:15">
      <c r="A94" s="51"/>
      <c r="B94" s="52"/>
      <c r="O94" s="226"/>
    </row>
    <row r="95" spans="1:15">
      <c r="A95" s="51"/>
      <c r="B95" s="52"/>
      <c r="O95" s="226"/>
    </row>
    <row r="96" spans="1:15">
      <c r="A96" s="51"/>
      <c r="B96" s="52"/>
      <c r="O96" s="226"/>
    </row>
    <row r="97" spans="1:15">
      <c r="A97" s="51"/>
      <c r="B97" s="52"/>
      <c r="O97" s="226"/>
    </row>
    <row r="98" spans="1:15">
      <c r="A98" s="51"/>
      <c r="B98" s="52"/>
      <c r="O98" s="226"/>
    </row>
    <row r="99" spans="1:15">
      <c r="B99" s="52"/>
      <c r="O99" s="226"/>
    </row>
    <row r="100" spans="1:15">
      <c r="B100" s="52"/>
      <c r="O100" s="226"/>
    </row>
    <row r="101" spans="1:15">
      <c r="B101" s="52"/>
    </row>
    <row r="102" spans="1:15">
      <c r="B102" s="52"/>
    </row>
  </sheetData>
  <mergeCells count="5">
    <mergeCell ref="F3:L3"/>
    <mergeCell ref="G7:L7"/>
    <mergeCell ref="U28:V28"/>
    <mergeCell ref="B84:N84"/>
    <mergeCell ref="B85:N85"/>
  </mergeCells>
  <pageMargins left="0.25" right="0.25" top="0.75" bottom="0.75" header="0.3" footer="0.3"/>
  <pageSetup orientation="landscape" r:id="rId1"/>
  <headerFooter alignWithMargins="0"/>
  <rowBreaks count="2" manualBreakCount="2">
    <brk id="28" max="16383" man="1"/>
    <brk id="55" max="16383" man="1"/>
  </rowBreaks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A456-8930-4B17-B3E9-F47EF754F1D7}">
  <sheetPr codeName="Sheet29"/>
  <dimension ref="A1:C6"/>
  <sheetViews>
    <sheetView workbookViewId="0">
      <selection activeCell="C11" sqref="C11"/>
    </sheetView>
  </sheetViews>
  <sheetFormatPr defaultRowHeight="12.75"/>
  <cols>
    <col min="1" max="1" width="8.86328125" bestFit="1" customWidth="1"/>
    <col min="2" max="2" width="11.3984375" bestFit="1" customWidth="1"/>
    <col min="3" max="3" width="41.59765625" bestFit="1" customWidth="1"/>
  </cols>
  <sheetData>
    <row r="1" spans="1:3">
      <c r="A1" s="98">
        <v>43805</v>
      </c>
      <c r="B1" s="99" t="s">
        <v>196</v>
      </c>
      <c r="C1" s="99" t="s">
        <v>197</v>
      </c>
    </row>
    <row r="2" spans="1:3">
      <c r="C2" s="105" t="s">
        <v>199</v>
      </c>
    </row>
    <row r="3" spans="1:3">
      <c r="C3" s="105" t="s">
        <v>200</v>
      </c>
    </row>
    <row r="4" spans="1:3">
      <c r="C4" s="99" t="s">
        <v>201</v>
      </c>
    </row>
    <row r="5" spans="1:3">
      <c r="C5" s="99" t="s">
        <v>202</v>
      </c>
    </row>
    <row r="6" spans="1:3">
      <c r="C6" s="99" t="s">
        <v>203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/>
  <dimension ref="C7:M13"/>
  <sheetViews>
    <sheetView workbookViewId="0">
      <selection activeCell="D27" sqref="D27"/>
    </sheetView>
  </sheetViews>
  <sheetFormatPr defaultColWidth="8.86328125" defaultRowHeight="14.25"/>
  <cols>
    <col min="1" max="2" width="8.86328125" style="86"/>
    <col min="3" max="3" width="19.1328125" style="87" customWidth="1"/>
    <col min="4" max="6" width="7.59765625" style="87" customWidth="1"/>
    <col min="7" max="7" width="13.3984375" style="87" customWidth="1"/>
    <col min="8" max="8" width="9.59765625" style="87" customWidth="1"/>
    <col min="9" max="9" width="18.1328125" style="87" customWidth="1"/>
    <col min="10" max="10" width="19.1328125" style="87" customWidth="1"/>
    <col min="11" max="11" width="8.86328125" style="87"/>
    <col min="12" max="12" width="18.86328125" style="87" customWidth="1"/>
    <col min="13" max="13" width="23" style="87" customWidth="1"/>
    <col min="14" max="16384" width="8.86328125" style="86"/>
  </cols>
  <sheetData>
    <row r="7" spans="3:9" ht="58.35" customHeight="1">
      <c r="C7" s="88" t="s">
        <v>189</v>
      </c>
      <c r="D7" s="305" t="s">
        <v>190</v>
      </c>
      <c r="E7" s="305"/>
      <c r="F7" s="305"/>
      <c r="G7" s="89" t="s">
        <v>193</v>
      </c>
      <c r="H7" s="89" t="s">
        <v>191</v>
      </c>
      <c r="I7" s="90" t="s">
        <v>194</v>
      </c>
    </row>
    <row r="8" spans="3:9">
      <c r="C8" s="91">
        <v>293.64665696221425</v>
      </c>
      <c r="D8" s="304" t="s">
        <v>175</v>
      </c>
      <c r="E8" s="304"/>
      <c r="F8" s="304"/>
      <c r="G8" s="92">
        <v>43.79</v>
      </c>
      <c r="H8" s="93">
        <v>1.0249999999999999</v>
      </c>
      <c r="I8" s="92">
        <f t="shared" ref="I8:I13" si="0">(C8+G8)*H8</f>
        <v>345.87257338626961</v>
      </c>
    </row>
    <row r="9" spans="3:9">
      <c r="C9" s="91">
        <v>300.83684242356941</v>
      </c>
      <c r="D9" s="304" t="s">
        <v>176</v>
      </c>
      <c r="E9" s="304"/>
      <c r="F9" s="304"/>
      <c r="G9" s="92">
        <v>43.79</v>
      </c>
      <c r="H9" s="93">
        <v>1.0249999999999999</v>
      </c>
      <c r="I9" s="92">
        <f t="shared" si="0"/>
        <v>353.24251348415862</v>
      </c>
    </row>
    <row r="10" spans="3:9">
      <c r="C10" s="91">
        <v>308.02702788492456</v>
      </c>
      <c r="D10" s="304" t="s">
        <v>177</v>
      </c>
      <c r="E10" s="304"/>
      <c r="F10" s="304"/>
      <c r="G10" s="92">
        <v>43.79</v>
      </c>
      <c r="H10" s="93">
        <v>1.0249999999999999</v>
      </c>
      <c r="I10" s="92">
        <f t="shared" si="0"/>
        <v>360.61245358204769</v>
      </c>
    </row>
    <row r="11" spans="3:9">
      <c r="C11" s="91">
        <v>315.21721334627983</v>
      </c>
      <c r="D11" s="304" t="s">
        <v>178</v>
      </c>
      <c r="E11" s="304"/>
      <c r="F11" s="304"/>
      <c r="G11" s="92">
        <v>43.79</v>
      </c>
      <c r="H11" s="93">
        <v>1.0249999999999999</v>
      </c>
      <c r="I11" s="92">
        <f t="shared" si="0"/>
        <v>367.98239367993682</v>
      </c>
    </row>
    <row r="12" spans="3:9">
      <c r="C12" s="91">
        <v>344.36591483889583</v>
      </c>
      <c r="D12" s="304" t="s">
        <v>179</v>
      </c>
      <c r="E12" s="304"/>
      <c r="F12" s="304"/>
      <c r="G12" s="92">
        <v>43.79</v>
      </c>
      <c r="H12" s="93">
        <v>1.0249999999999999</v>
      </c>
      <c r="I12" s="92">
        <f t="shared" si="0"/>
        <v>397.85981270986821</v>
      </c>
    </row>
    <row r="13" spans="3:9">
      <c r="C13" s="91">
        <f>344.365914838896</f>
        <v>344.365914838896</v>
      </c>
      <c r="D13" s="304" t="s">
        <v>192</v>
      </c>
      <c r="E13" s="304"/>
      <c r="F13" s="304"/>
      <c r="G13" s="92">
        <v>100.25</v>
      </c>
      <c r="H13" s="93">
        <v>1.0249999999999999</v>
      </c>
      <c r="I13" s="92">
        <f t="shared" si="0"/>
        <v>455.73131270986835</v>
      </c>
    </row>
  </sheetData>
  <mergeCells count="7">
    <mergeCell ref="D12:F12"/>
    <mergeCell ref="D13:F13"/>
    <mergeCell ref="D7:F7"/>
    <mergeCell ref="D8:F8"/>
    <mergeCell ref="D9:F9"/>
    <mergeCell ref="D10:F10"/>
    <mergeCell ref="D11:F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R106"/>
  <sheetViews>
    <sheetView workbookViewId="0">
      <selection activeCell="C10" sqref="C10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86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8.398437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75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/>
      <c r="M5" s="5"/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4">
        <f>'January 1, 2008'!I6*1.03</f>
        <v>1845.8836000000001</v>
      </c>
      <c r="H6" s="34">
        <f>'January 1, 2008'!J6*1.03</f>
        <v>1972.1307000000002</v>
      </c>
      <c r="I6" s="34">
        <f>'January 1, 2008'!K6*1.03</f>
        <v>2106.8650000000002</v>
      </c>
      <c r="J6" s="34">
        <f>'January 1, 2008'!L6*1.03</f>
        <v>2250.0865000000003</v>
      </c>
      <c r="K6" s="34">
        <f>'January 1, 2008'!M6*1.03</f>
        <v>2386.4306153888601</v>
      </c>
    </row>
    <row r="7" spans="1:14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4">
        <f>'January 1, 2008'!I7*1.03</f>
        <v>1845.8836000000001</v>
      </c>
      <c r="H7" s="34">
        <f>'January 1, 2008'!J7*1.03</f>
        <v>1972.1307000000002</v>
      </c>
      <c r="I7" s="34">
        <f>'January 1, 2008'!K7*1.03</f>
        <v>2106.8650000000002</v>
      </c>
      <c r="J7" s="34">
        <f>'January 1, 2008'!L7*1.03</f>
        <v>2250.0865000000003</v>
      </c>
      <c r="K7" s="34">
        <f>'January 1, 2008'!M7*1.03</f>
        <v>2386.4306153888601</v>
      </c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4">
        <f>'January 1, 2008'!I8*1.03</f>
        <v>1845.8836000000001</v>
      </c>
      <c r="H8" s="34">
        <f>'January 1, 2008'!J8*1.03</f>
        <v>1972.1307000000002</v>
      </c>
      <c r="I8" s="34">
        <f>'January 1, 2008'!K8*1.03</f>
        <v>2106.8650000000002</v>
      </c>
      <c r="J8" s="34">
        <f>'January 1, 2008'!L8*1.03</f>
        <v>2250.0865000000003</v>
      </c>
      <c r="K8" s="34">
        <f>'January 1, 2008'!M8*1.03</f>
        <v>2386.4306153888601</v>
      </c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4">
        <f>'January 1, 2008'!H9*1.03</f>
        <v>2431.5003999999999</v>
      </c>
      <c r="H9" s="34">
        <f>'January 1, 2008'!I9*1.03</f>
        <v>2526.9814000000001</v>
      </c>
      <c r="I9" s="34">
        <f>'January 1, 2008'!J9*1.03</f>
        <v>2680.5132802550247</v>
      </c>
      <c r="J9" s="6"/>
      <c r="K9" s="6"/>
      <c r="L9" s="6"/>
    </row>
    <row r="10" spans="1:14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4">
        <f>'January 1, 2008'!H10*1.03</f>
        <v>2431.5003999999999</v>
      </c>
      <c r="H10" s="34">
        <f>'January 1, 2008'!I10*1.03</f>
        <v>2526.9814000000001</v>
      </c>
      <c r="I10" s="34">
        <f>'January 1, 2008'!J10*1.03</f>
        <v>2680.5132802550247</v>
      </c>
      <c r="J10" s="6"/>
      <c r="K10" s="6"/>
      <c r="L10" s="6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4">
        <f>'January 1, 2008'!H11*1.03</f>
        <v>2431.5003999999999</v>
      </c>
      <c r="H11" s="34">
        <f>'January 1, 2008'!I11*1.03</f>
        <v>2526.9814000000001</v>
      </c>
      <c r="I11" s="34">
        <f>'January 1, 2008'!J11*1.03</f>
        <v>2680.5132802550247</v>
      </c>
      <c r="J11" s="6"/>
      <c r="K11" s="6"/>
      <c r="L11" s="6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4">
        <f>'January 1, 2008'!H12*1.03</f>
        <v>2756.1358</v>
      </c>
      <c r="H12" s="34">
        <f>'January 1, 2008'!I12*1.03</f>
        <v>2865.4085000000005</v>
      </c>
      <c r="I12" s="34">
        <f>'January 1, 2008'!J12*1.03</f>
        <v>3040.7916741132049</v>
      </c>
      <c r="J12" s="6"/>
      <c r="K12" s="6"/>
      <c r="L12" s="6"/>
    </row>
    <row r="13" spans="1:14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4">
        <f>'January 1, 2008'!H13*1.03</f>
        <v>2756.1358</v>
      </c>
      <c r="H13" s="34">
        <f>'January 1, 2008'!I13*1.03</f>
        <v>2865.4085000000005</v>
      </c>
      <c r="I13" s="34">
        <f>'January 1, 2008'!J13*1.03</f>
        <v>3040.7916741132049</v>
      </c>
      <c r="J13" s="6"/>
      <c r="K13" s="6"/>
      <c r="L13" s="6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4">
        <f>'January 1, 2008'!H14*1.03</f>
        <v>2756.1358</v>
      </c>
      <c r="H14" s="34">
        <f>'January 1, 2008'!I14*1.03</f>
        <v>2865.4085000000005</v>
      </c>
      <c r="I14" s="34">
        <f>'January 1, 2008'!J14*1.03</f>
        <v>3040.7916741132049</v>
      </c>
      <c r="J14" s="6"/>
      <c r="K14" s="6"/>
      <c r="L14" s="6"/>
    </row>
    <row r="15" spans="1:14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4">
        <f>'January 1, 2008'!H15*1.03</f>
        <v>2756.1358</v>
      </c>
      <c r="H15" s="34">
        <f>'January 1, 2008'!I15*1.03</f>
        <v>2865.4085000000005</v>
      </c>
      <c r="I15" s="34">
        <f>'January 1, 2008'!J15*1.03</f>
        <v>3040.7916741132049</v>
      </c>
      <c r="J15" s="6"/>
      <c r="K15" s="6"/>
      <c r="L15" s="6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4">
        <f>'January 1, 2008'!H16*1.03</f>
        <v>2756.1358</v>
      </c>
      <c r="H16" s="34">
        <f>'January 1, 2008'!I16*1.03</f>
        <v>2865.4085000000005</v>
      </c>
      <c r="I16" s="34">
        <f>'January 1, 2008'!J16*1.03</f>
        <v>3040.7916741132049</v>
      </c>
      <c r="J16" s="6"/>
      <c r="K16" s="6"/>
      <c r="L16" s="6"/>
    </row>
    <row r="17" spans="1:18" ht="39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4">
        <f>'January 1, 2008'!I17*1.03</f>
        <v>2820.8507</v>
      </c>
      <c r="H17" s="34">
        <f>'January 1, 2008'!J17*1.03</f>
        <v>2868.5911999999998</v>
      </c>
      <c r="I17" s="34">
        <f>'January 1, 2008'!K17*1.03</f>
        <v>2917.3926000000001</v>
      </c>
      <c r="J17" s="34">
        <f>'January 1, 2008'!L17*1.03</f>
        <v>2966.1940000000004</v>
      </c>
      <c r="K17" s="34">
        <f>'January 1, 2008'!M17*1.03</f>
        <v>3147.1389108544745</v>
      </c>
    </row>
    <row r="18" spans="1:18" ht="13.15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4">
        <f>'January 1, 2008'!I18*1.03</f>
        <v>2820.8507</v>
      </c>
      <c r="H18" s="34">
        <f>'January 1, 2008'!J18*1.03</f>
        <v>2868.5911999999998</v>
      </c>
      <c r="I18" s="34">
        <f>'January 1, 2008'!K18*1.03</f>
        <v>2917.3926000000001</v>
      </c>
      <c r="J18" s="34">
        <f>'January 1, 2008'!L18*1.03</f>
        <v>2966.1940000000004</v>
      </c>
      <c r="K18" s="34">
        <f>'January 1, 2008'!M18*1.03</f>
        <v>3147.1389108544745</v>
      </c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'January 1, 2008'!C21*1.03</f>
        <v>0.77047487843164997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'January 1, 2008'!C22*1.03</f>
        <v>0.33640452438564999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B23" s="15" t="s">
        <v>47</v>
      </c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0" t="s">
        <v>48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/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'January 1, 2008'!A33*1.03</f>
        <v>13.2825528338076</v>
      </c>
      <c r="B33" s="289" t="s">
        <v>54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R33" s="25"/>
    </row>
    <row r="34" spans="1:18">
      <c r="A34" s="14">
        <f>'January 1, 2008'!A34*1.03</f>
        <v>18.8386533655964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'January 1, 2008'!A35*1.03</f>
        <v>24.394753897385201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'January 1, 2008'!A36*1.03</f>
        <v>29.950854429174001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2008'!A37*1.03</f>
        <v>35.506954960962801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2008'!A38*1.03</f>
        <v>107.31304327902234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'January 1, 2008'!A39*1.03</f>
        <v>113.34662120026177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'January 1, 2008'!A40*1.03</f>
        <v>119.36934736265002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'January 1, 2008'!A41*1.03</f>
        <v>156.13510635034621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'January 1, 2008'!A42*1.03</f>
        <v>162.15783251273444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'January 1, 2008'!A43*1.03</f>
        <v>168.19141043397386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'January 1, 2008'!A44*1.03</f>
        <v>174.22498835521327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'January 1, 2008'!A45*1.03</f>
        <v>191.32736030462564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'January 1, 2008'!A46*1.03</f>
        <v>240.37731031182363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'January 1, 2008'!A47*1.03</f>
        <v>246.41088823306305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'January 1, 2008'!A48*1.03</f>
        <v>252.44446615430243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'January 1, 2008'!A49*1.03</f>
        <v>258.47804407554185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'January 1, 2008'!A50*1.03</f>
        <v>264.51162199678129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'January 1, 2008'!A51*1.03</f>
        <v>288.97148644727338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 ht="13.15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 ht="13.15">
      <c r="A60" s="1"/>
    </row>
    <row r="61" spans="1:18" ht="13.15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 ht="13.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 ht="13.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 ht="13.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 ht="13.15">
      <c r="A85" s="1"/>
    </row>
    <row r="86" spans="1:15">
      <c r="A86" s="22"/>
      <c r="B86" s="23"/>
    </row>
    <row r="87" spans="1:15">
      <c r="A87" s="25"/>
      <c r="B87" s="289"/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</row>
    <row r="88" spans="1:15">
      <c r="A88" s="25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sheetProtection password="E3B7" sheet="1" objects="1" scenarios="1"/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R106"/>
  <sheetViews>
    <sheetView workbookViewId="0">
      <selection activeCell="A3" sqref="A3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86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6.5976562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78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/>
      <c r="M5" s="5"/>
      <c r="N5" s="5"/>
    </row>
    <row r="6" spans="1:14">
      <c r="A6" s="6" t="s">
        <v>14</v>
      </c>
      <c r="B6" s="6">
        <v>3</v>
      </c>
      <c r="C6" s="6" t="s">
        <v>15</v>
      </c>
      <c r="D6" s="2" t="s">
        <v>16</v>
      </c>
      <c r="E6" s="2">
        <v>353</v>
      </c>
      <c r="F6" s="6" t="s">
        <v>17</v>
      </c>
      <c r="G6" s="34">
        <f>'December 31, 2008'!G6*1.03</f>
        <v>1901.2601080000002</v>
      </c>
      <c r="H6" s="34">
        <f>'December 31, 2008'!H6*1.03</f>
        <v>2031.2946210000002</v>
      </c>
      <c r="I6" s="34">
        <f>'December 31, 2008'!I6*1.03</f>
        <v>2170.0709500000003</v>
      </c>
      <c r="J6" s="34">
        <f>'December 31, 2008'!J6*1.03</f>
        <v>2317.5890950000003</v>
      </c>
      <c r="K6" s="34">
        <f>'December 31, 2008'!K6*1.03</f>
        <v>2458.0235338505258</v>
      </c>
      <c r="L6" s="34"/>
    </row>
    <row r="7" spans="1:14">
      <c r="A7" s="6" t="s">
        <v>14</v>
      </c>
      <c r="B7" s="6">
        <v>3</v>
      </c>
      <c r="C7" s="6" t="s">
        <v>19</v>
      </c>
      <c r="D7" s="2" t="s">
        <v>20</v>
      </c>
      <c r="E7" s="2">
        <v>353</v>
      </c>
      <c r="F7" s="6" t="s">
        <v>17</v>
      </c>
      <c r="G7" s="34">
        <f>'December 31, 2008'!G7*1.03</f>
        <v>1901.2601080000002</v>
      </c>
      <c r="H7" s="34">
        <f>'December 31, 2008'!H7*1.03</f>
        <v>2031.2946210000002</v>
      </c>
      <c r="I7" s="34">
        <f>'December 31, 2008'!I7*1.03</f>
        <v>2170.0709500000003</v>
      </c>
      <c r="J7" s="34">
        <f>'December 31, 2008'!J7*1.03</f>
        <v>2317.5890950000003</v>
      </c>
      <c r="K7" s="34">
        <f>'December 31, 2008'!K7*1.03</f>
        <v>2458.0235338505258</v>
      </c>
      <c r="L7" s="34"/>
    </row>
    <row r="8" spans="1:14">
      <c r="A8" s="6" t="s">
        <v>14</v>
      </c>
      <c r="B8" s="6">
        <v>3</v>
      </c>
      <c r="C8" s="6" t="s">
        <v>21</v>
      </c>
      <c r="D8" s="2" t="s">
        <v>22</v>
      </c>
      <c r="F8" s="6" t="s">
        <v>17</v>
      </c>
      <c r="G8" s="34">
        <f>'December 31, 2008'!G8*1.03</f>
        <v>1901.2601080000002</v>
      </c>
      <c r="H8" s="34">
        <f>'December 31, 2008'!H8*1.03</f>
        <v>2031.2946210000002</v>
      </c>
      <c r="I8" s="34">
        <f>'December 31, 2008'!I8*1.03</f>
        <v>2170.0709500000003</v>
      </c>
      <c r="J8" s="34">
        <f>'December 31, 2008'!J8*1.03</f>
        <v>2317.5890950000003</v>
      </c>
      <c r="K8" s="34">
        <f>'December 31, 2008'!K8*1.03</f>
        <v>2458.0235338505258</v>
      </c>
      <c r="L8" s="34"/>
    </row>
    <row r="9" spans="1:14">
      <c r="A9" s="6" t="s">
        <v>14</v>
      </c>
      <c r="B9" s="6">
        <v>3</v>
      </c>
      <c r="C9" s="6" t="s">
        <v>23</v>
      </c>
      <c r="D9" s="2" t="s">
        <v>24</v>
      </c>
      <c r="F9" s="6" t="s">
        <v>17</v>
      </c>
      <c r="G9" s="34">
        <f>'December 31, 2008'!G9*1.03</f>
        <v>2504.445412</v>
      </c>
      <c r="H9" s="34">
        <f>'December 31, 2008'!H9*1.03</f>
        <v>2602.7908420000003</v>
      </c>
      <c r="I9" s="34">
        <f>'December 31, 2008'!I9*1.03</f>
        <v>2760.9286786626753</v>
      </c>
      <c r="J9" s="34"/>
      <c r="K9" s="34"/>
      <c r="L9" s="34"/>
    </row>
    <row r="10" spans="1:14">
      <c r="A10" s="6" t="s">
        <v>14</v>
      </c>
      <c r="B10" s="6">
        <v>3</v>
      </c>
      <c r="C10" s="6" t="s">
        <v>77</v>
      </c>
      <c r="D10" s="2" t="s">
        <v>26</v>
      </c>
      <c r="F10" s="6" t="s">
        <v>17</v>
      </c>
      <c r="G10" s="34">
        <f>'December 31, 2008'!G10*1.03</f>
        <v>2504.445412</v>
      </c>
      <c r="H10" s="34">
        <f>'December 31, 2008'!H10*1.03</f>
        <v>2602.7908420000003</v>
      </c>
      <c r="I10" s="34">
        <f>'December 31, 2008'!I10*1.03</f>
        <v>2760.9286786626753</v>
      </c>
      <c r="J10" s="34"/>
      <c r="K10" s="34"/>
      <c r="L10" s="34"/>
    </row>
    <row r="11" spans="1:14">
      <c r="A11" s="6" t="s">
        <v>14</v>
      </c>
      <c r="B11" s="6">
        <v>3</v>
      </c>
      <c r="C11" s="6" t="s">
        <v>27</v>
      </c>
      <c r="D11" s="2" t="s">
        <v>28</v>
      </c>
      <c r="F11" s="6" t="s">
        <v>17</v>
      </c>
      <c r="G11" s="34">
        <f>'December 31, 2008'!G11*1.03</f>
        <v>2504.445412</v>
      </c>
      <c r="H11" s="34">
        <f>'December 31, 2008'!H11*1.03</f>
        <v>2602.7908420000003</v>
      </c>
      <c r="I11" s="34">
        <f>'December 31, 2008'!I11*1.03</f>
        <v>2760.9286786626753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29</v>
      </c>
      <c r="D12" s="2" t="s">
        <v>30</v>
      </c>
      <c r="F12" s="6" t="s">
        <v>17</v>
      </c>
      <c r="G12" s="34">
        <f>'December 31, 2008'!G12*1.03</f>
        <v>2838.8198740000003</v>
      </c>
      <c r="H12" s="34">
        <f>'December 31, 2008'!H12*1.03</f>
        <v>2951.3707550000004</v>
      </c>
      <c r="I12" s="34">
        <f>'December 31, 2008'!I12*1.03</f>
        <v>3132.015424336601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31</v>
      </c>
      <c r="D13" s="2" t="s">
        <v>32</v>
      </c>
      <c r="F13" s="6" t="s">
        <v>17</v>
      </c>
      <c r="G13" s="34">
        <f>'December 31, 2008'!G13*1.03</f>
        <v>2838.8198740000003</v>
      </c>
      <c r="H13" s="34">
        <f>'December 31, 2008'!H13*1.03</f>
        <v>2951.3707550000004</v>
      </c>
      <c r="I13" s="34">
        <f>'December 31, 2008'!I13*1.03</f>
        <v>3132.015424336601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33</v>
      </c>
      <c r="D14" s="2" t="s">
        <v>34</v>
      </c>
      <c r="F14" s="6" t="s">
        <v>17</v>
      </c>
      <c r="G14" s="34">
        <f>'December 31, 2008'!G14*1.03</f>
        <v>2838.8198740000003</v>
      </c>
      <c r="H14" s="34">
        <f>'December 31, 2008'!H14*1.03</f>
        <v>2951.3707550000004</v>
      </c>
      <c r="I14" s="34">
        <f>'December 31, 2008'!I14*1.03</f>
        <v>3132.015424336601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35</v>
      </c>
      <c r="D15" s="2" t="s">
        <v>36</v>
      </c>
      <c r="F15" s="6" t="s">
        <v>17</v>
      </c>
      <c r="G15" s="34">
        <f>'December 31, 2008'!G15*1.03</f>
        <v>2838.8198740000003</v>
      </c>
      <c r="H15" s="34">
        <f>'December 31, 2008'!H15*1.03</f>
        <v>2951.3707550000004</v>
      </c>
      <c r="I15" s="34">
        <f>'December 31, 2008'!I15*1.03</f>
        <v>3132.015424336601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37</v>
      </c>
      <c r="D16" s="2" t="s">
        <v>38</v>
      </c>
      <c r="F16" s="6" t="s">
        <v>17</v>
      </c>
      <c r="G16" s="34">
        <f>'December 31, 2008'!G16*1.03</f>
        <v>2838.8198740000003</v>
      </c>
      <c r="H16" s="34">
        <f>'December 31, 2008'!H16*1.03</f>
        <v>2951.3707550000004</v>
      </c>
      <c r="I16" s="34">
        <f>'December 31, 2008'!I16*1.03</f>
        <v>3132.015424336601</v>
      </c>
      <c r="J16" s="34"/>
      <c r="K16" s="34"/>
      <c r="L16" s="34"/>
    </row>
    <row r="17" spans="1:18" ht="39.75" customHeight="1">
      <c r="A17" s="6" t="s">
        <v>14</v>
      </c>
      <c r="B17" s="6">
        <v>3</v>
      </c>
      <c r="C17" s="6" t="s">
        <v>41</v>
      </c>
      <c r="D17" s="7" t="s">
        <v>40</v>
      </c>
      <c r="F17" s="6" t="s">
        <v>17</v>
      </c>
      <c r="G17" s="34">
        <f>'December 31, 2008'!G17*1.03</f>
        <v>2905.4762209999999</v>
      </c>
      <c r="H17" s="34">
        <f>'December 31, 2008'!H17*1.03</f>
        <v>2954.648936</v>
      </c>
      <c r="I17" s="34">
        <f>'December 31, 2008'!I17*1.03</f>
        <v>3004.9143780000004</v>
      </c>
      <c r="J17" s="34">
        <f>'December 31, 2008'!J17*1.03</f>
        <v>3055.1798200000003</v>
      </c>
      <c r="K17" s="34">
        <f>'December 31, 2008'!K17*1.03</f>
        <v>3241.553078180109</v>
      </c>
      <c r="L17" s="34"/>
    </row>
    <row r="18" spans="1:18" ht="13.15">
      <c r="A18" s="6" t="s">
        <v>14</v>
      </c>
      <c r="B18" s="6">
        <v>3</v>
      </c>
      <c r="C18" s="8" t="s">
        <v>39</v>
      </c>
      <c r="D18" s="9" t="s">
        <v>42</v>
      </c>
      <c r="E18" s="1"/>
      <c r="F18" s="6" t="s">
        <v>17</v>
      </c>
      <c r="G18" s="34">
        <f>'December 31, 2008'!G18*1.03</f>
        <v>2905.4762209999999</v>
      </c>
      <c r="H18" s="34">
        <f>'December 31, 2008'!H18*1.03</f>
        <v>2954.648936</v>
      </c>
      <c r="I18" s="34">
        <f>'December 31, 2008'!I18*1.03</f>
        <v>3004.9143780000004</v>
      </c>
      <c r="J18" s="34">
        <f>'December 31, 2008'!J18*1.03</f>
        <v>3055.1798200000003</v>
      </c>
      <c r="K18" s="34">
        <f>'December 31, 2008'!K18*1.03</f>
        <v>3241.553078180109</v>
      </c>
      <c r="L18" s="34"/>
    </row>
    <row r="19" spans="1:18">
      <c r="A19" s="10" t="s">
        <v>43</v>
      </c>
      <c r="B19" s="10"/>
      <c r="C19" s="11"/>
      <c r="D19" s="12"/>
      <c r="E19" s="12"/>
      <c r="F19" s="12"/>
      <c r="G19" s="11"/>
      <c r="H19" s="11"/>
      <c r="I19" s="11"/>
      <c r="J19" s="11"/>
      <c r="K19" s="11"/>
      <c r="L19" s="11"/>
      <c r="M19" s="11"/>
      <c r="N19" s="13"/>
    </row>
    <row r="20" spans="1:18">
      <c r="A20" s="10" t="s">
        <v>44</v>
      </c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/>
      <c r="B21" s="10"/>
      <c r="C21" s="14">
        <f>'October 26, 2008'!C21*1.03</f>
        <v>0.79358912478459953</v>
      </c>
      <c r="D21" s="15" t="s">
        <v>45</v>
      </c>
      <c r="E21" s="12"/>
      <c r="F21" s="12"/>
      <c r="G21" s="11"/>
      <c r="H21" s="11"/>
      <c r="I21" s="11"/>
      <c r="J21" s="11"/>
      <c r="K21" s="11"/>
      <c r="L21" s="11"/>
      <c r="M21" s="11"/>
      <c r="N21" s="13"/>
      <c r="R21" s="11">
        <v>0.722993</v>
      </c>
    </row>
    <row r="22" spans="1:18">
      <c r="A22" s="10"/>
      <c r="B22" s="10"/>
      <c r="C22" s="14">
        <f>'October 26, 2008'!C22*1.03</f>
        <v>0.34649666011721952</v>
      </c>
      <c r="D22" s="15" t="s">
        <v>46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>
        <v>0.31567299999999998</v>
      </c>
    </row>
    <row r="23" spans="1:18">
      <c r="C23" s="11"/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3"/>
    </row>
    <row r="24" spans="1:18">
      <c r="B24" s="15" t="s">
        <v>47</v>
      </c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A25" s="10"/>
      <c r="B25" s="10" t="s">
        <v>48</v>
      </c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6" t="s">
        <v>49</v>
      </c>
      <c r="B27" s="12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5" t="s">
        <v>50</v>
      </c>
      <c r="B28" s="10"/>
      <c r="C28" s="17"/>
      <c r="D28" s="10"/>
      <c r="E28" s="10"/>
      <c r="F28" s="10"/>
      <c r="G28" s="17"/>
      <c r="H28" s="17"/>
      <c r="I28" s="17"/>
      <c r="J28" s="17"/>
      <c r="K28" s="17"/>
      <c r="L28" s="17"/>
      <c r="M28" s="17"/>
      <c r="N28" s="18"/>
    </row>
    <row r="29" spans="1:18">
      <c r="A29" s="10" t="s">
        <v>51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9" t="s">
        <v>52</v>
      </c>
      <c r="B30" s="20"/>
      <c r="C30" s="20"/>
      <c r="D30" s="21"/>
      <c r="E30" s="21"/>
    </row>
    <row r="31" spans="1:18">
      <c r="A31" s="19"/>
      <c r="B31" s="20"/>
      <c r="C31" s="20"/>
      <c r="D31" s="21"/>
      <c r="E31" s="21"/>
    </row>
    <row r="32" spans="1:18">
      <c r="A32" s="22" t="s">
        <v>53</v>
      </c>
      <c r="B32" s="23"/>
    </row>
    <row r="33" spans="1:18">
      <c r="A33" s="14">
        <f>'October 26, 2008'!A33*1.03</f>
        <v>13.681029418821828</v>
      </c>
      <c r="B33" s="289" t="s">
        <v>54</v>
      </c>
      <c r="C33" s="289"/>
      <c r="D33" s="289"/>
      <c r="E33" s="289"/>
      <c r="F33" s="289"/>
      <c r="G33" s="289"/>
      <c r="H33" s="289"/>
      <c r="I33" s="289"/>
      <c r="J33" s="289"/>
      <c r="K33" s="289"/>
      <c r="L33" s="289"/>
      <c r="M33" s="289"/>
      <c r="R33" s="25"/>
    </row>
    <row r="34" spans="1:18">
      <c r="A34" s="14">
        <f>'October 26, 2008'!A34*1.03</f>
        <v>19.403812966564292</v>
      </c>
      <c r="B34" s="26" t="s">
        <v>55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R34" s="25"/>
    </row>
    <row r="35" spans="1:18">
      <c r="A35" s="14">
        <f>'October 26, 2008'!A35*1.03</f>
        <v>25.126596514306758</v>
      </c>
      <c r="B35" s="26" t="s">
        <v>56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'October 26, 2008'!A36*1.03</f>
        <v>30.849380062049221</v>
      </c>
      <c r="B36" s="26" t="s">
        <v>57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'October 26, 2008'!A37*1.03</f>
        <v>36.572163609791687</v>
      </c>
      <c r="B37" s="26" t="s">
        <v>58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'October 26, 2008'!A38*1.03</f>
        <v>110.532434577393</v>
      </c>
      <c r="B38" s="26" t="s">
        <v>59</v>
      </c>
      <c r="C38" s="27"/>
      <c r="D38" s="27"/>
      <c r="E38" s="27"/>
      <c r="F38" s="27"/>
      <c r="R38" s="25">
        <v>100.699687</v>
      </c>
    </row>
    <row r="39" spans="1:18">
      <c r="A39" s="14">
        <f>'October 26, 2008'!A39*1.03</f>
        <v>116.74701983626962</v>
      </c>
      <c r="B39" s="26" t="s">
        <v>60</v>
      </c>
      <c r="C39" s="27"/>
      <c r="D39" s="27"/>
      <c r="E39" s="27"/>
      <c r="F39" s="27"/>
      <c r="R39" s="25">
        <v>106.361435</v>
      </c>
    </row>
    <row r="40" spans="1:18">
      <c r="A40" s="14">
        <f>'October 26, 2008'!A40*1.03</f>
        <v>122.95042778352952</v>
      </c>
      <c r="B40" s="26" t="s">
        <v>61</v>
      </c>
      <c r="C40" s="27"/>
      <c r="D40" s="27"/>
      <c r="E40" s="27"/>
      <c r="F40" s="27"/>
      <c r="R40" s="25">
        <v>112.01300000000001</v>
      </c>
    </row>
    <row r="41" spans="1:18">
      <c r="A41" s="14">
        <f>'October 26, 2008'!A41*1.03</f>
        <v>160.81915954085659</v>
      </c>
      <c r="B41" s="26" t="s">
        <v>62</v>
      </c>
      <c r="C41" s="27"/>
      <c r="D41" s="27"/>
      <c r="E41" s="27"/>
      <c r="F41" s="27"/>
      <c r="R41" s="25">
        <v>146.513004</v>
      </c>
    </row>
    <row r="42" spans="1:18">
      <c r="A42" s="14">
        <f>'October 26, 2008'!A42*1.03</f>
        <v>167.02256748811649</v>
      </c>
      <c r="B42" s="26" t="s">
        <v>63</v>
      </c>
      <c r="C42" s="27"/>
      <c r="D42" s="27"/>
      <c r="E42" s="27"/>
      <c r="F42" s="27"/>
      <c r="R42" s="25">
        <v>152.164569</v>
      </c>
    </row>
    <row r="43" spans="1:18">
      <c r="A43" s="14">
        <f>'October 26, 2008'!A43*1.03</f>
        <v>173.23715274699308</v>
      </c>
      <c r="B43" s="26" t="s">
        <v>64</v>
      </c>
      <c r="C43" s="27"/>
      <c r="D43" s="27"/>
      <c r="E43" s="27"/>
      <c r="F43" s="27"/>
      <c r="R43" s="25">
        <v>157.82631700000002</v>
      </c>
    </row>
    <row r="44" spans="1:18">
      <c r="A44" s="14">
        <f>'October 26, 2008'!A44*1.03</f>
        <v>179.45173800586969</v>
      </c>
      <c r="B44" s="26" t="s">
        <v>65</v>
      </c>
      <c r="C44" s="27"/>
      <c r="D44" s="27"/>
      <c r="E44" s="27"/>
      <c r="F44" s="27"/>
      <c r="R44" s="25">
        <v>163.48806500000001</v>
      </c>
    </row>
    <row r="45" spans="1:18">
      <c r="A45" s="14">
        <f>'October 26, 2008'!A45*1.03</f>
        <v>197.06718111376441</v>
      </c>
      <c r="B45" s="26" t="s">
        <v>66</v>
      </c>
      <c r="C45" s="27"/>
      <c r="D45" s="27"/>
      <c r="E45" s="27"/>
      <c r="F45" s="27"/>
      <c r="R45" s="25">
        <v>179.536473</v>
      </c>
    </row>
    <row r="46" spans="1:18">
      <c r="A46" s="14">
        <f>'October 26, 2008'!A46*1.03</f>
        <v>247.58862962117834</v>
      </c>
      <c r="B46" s="26" t="s">
        <v>67</v>
      </c>
      <c r="C46" s="27"/>
      <c r="D46" s="27"/>
      <c r="E46" s="27"/>
      <c r="F46" s="27"/>
      <c r="R46" s="25">
        <v>225.56363299999998</v>
      </c>
    </row>
    <row r="47" spans="1:18">
      <c r="A47" s="14">
        <f>'October 26, 2008'!A47*1.03</f>
        <v>253.80321488005495</v>
      </c>
      <c r="B47" s="26" t="s">
        <v>68</v>
      </c>
      <c r="C47" s="27"/>
      <c r="D47" s="27"/>
      <c r="E47" s="27"/>
      <c r="F47" s="27"/>
      <c r="R47" s="25">
        <v>231.225381</v>
      </c>
    </row>
    <row r="48" spans="1:18">
      <c r="A48" s="14">
        <f>'October 26, 2008'!A48*1.03</f>
        <v>260.01780013893153</v>
      </c>
      <c r="B48" s="26" t="s">
        <v>69</v>
      </c>
      <c r="C48" s="27"/>
      <c r="D48" s="27"/>
      <c r="E48" s="27"/>
      <c r="F48" s="27"/>
      <c r="R48" s="25">
        <v>236.88712899999999</v>
      </c>
    </row>
    <row r="49" spans="1:18">
      <c r="A49" s="14">
        <f>'October 26, 2008'!A49*1.03</f>
        <v>266.23238539780812</v>
      </c>
      <c r="B49" s="26" t="s">
        <v>70</v>
      </c>
      <c r="C49" s="27"/>
      <c r="D49" s="27"/>
      <c r="E49" s="27"/>
      <c r="F49" s="27"/>
      <c r="R49" s="25">
        <v>242.548877</v>
      </c>
    </row>
    <row r="50" spans="1:18">
      <c r="A50" s="14">
        <f>'October 26, 2008'!A50*1.03</f>
        <v>272.44697065668475</v>
      </c>
      <c r="B50" s="26" t="s">
        <v>71</v>
      </c>
      <c r="C50" s="27"/>
      <c r="D50" s="27"/>
      <c r="E50" s="27"/>
      <c r="F50" s="27"/>
      <c r="R50" s="25">
        <v>248.21062499999999</v>
      </c>
    </row>
    <row r="51" spans="1:18">
      <c r="A51" s="14">
        <f>'October 26, 2008'!A51*1.03</f>
        <v>297.64063104069157</v>
      </c>
      <c r="B51" s="26" t="s">
        <v>72</v>
      </c>
      <c r="C51" s="27"/>
      <c r="D51" s="27"/>
      <c r="E51" s="27"/>
      <c r="F51" s="27"/>
      <c r="R51" s="25">
        <v>271.16310700000002</v>
      </c>
    </row>
    <row r="52" spans="1:18">
      <c r="A52" s="23"/>
      <c r="B52" s="28"/>
    </row>
    <row r="53" spans="1:18">
      <c r="A53" s="19"/>
      <c r="B53" s="20"/>
      <c r="C53" s="20"/>
      <c r="D53" s="21"/>
      <c r="E53" s="21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 ht="13.15">
      <c r="A59" s="3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8" ht="13.15">
      <c r="A60" s="1"/>
    </row>
    <row r="61" spans="1:18" ht="13.15">
      <c r="A61" s="4"/>
      <c r="B61" s="4"/>
      <c r="C61" s="4"/>
      <c r="D61" s="4"/>
      <c r="E61" s="4"/>
      <c r="F61" s="4"/>
      <c r="G61" s="5"/>
      <c r="H61" s="5"/>
      <c r="I61" s="5"/>
      <c r="J61" s="5"/>
      <c r="K61" s="5"/>
      <c r="L61" s="5"/>
      <c r="M61" s="5"/>
      <c r="N61" s="5"/>
      <c r="O61" s="5"/>
    </row>
    <row r="62" spans="1:18">
      <c r="A62" s="6"/>
      <c r="B62" s="6"/>
      <c r="C62" s="6"/>
      <c r="F62" s="6"/>
      <c r="G62" s="6"/>
      <c r="H62" s="6"/>
      <c r="I62" s="6"/>
      <c r="J62" s="6"/>
      <c r="K62" s="6"/>
      <c r="L62" s="6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D72" s="7"/>
      <c r="F72" s="6"/>
      <c r="G72" s="6"/>
      <c r="H72" s="6"/>
      <c r="I72" s="6"/>
      <c r="J72" s="6"/>
      <c r="K72" s="6"/>
      <c r="L72" s="6"/>
    </row>
    <row r="73" spans="1:15" ht="13.15">
      <c r="A73" s="1"/>
      <c r="B73" s="1"/>
      <c r="C73" s="8"/>
      <c r="D73" s="9"/>
      <c r="E73" s="1"/>
      <c r="F73" s="1"/>
      <c r="G73" s="6"/>
      <c r="H73" s="6"/>
      <c r="I73" s="6"/>
      <c r="J73" s="6"/>
      <c r="K73" s="6"/>
      <c r="L73" s="6"/>
    </row>
    <row r="74" spans="1:15" ht="13.15">
      <c r="A74" s="1"/>
      <c r="B74" s="1"/>
      <c r="C74" s="1"/>
      <c r="D74" s="1"/>
      <c r="E74" s="1"/>
      <c r="F74" s="1"/>
      <c r="G74" s="1"/>
      <c r="H74" s="1"/>
      <c r="I74" s="1"/>
      <c r="J74" s="29"/>
      <c r="K74" s="29"/>
      <c r="L74" s="29"/>
      <c r="M74" s="30"/>
      <c r="N74" s="30"/>
      <c r="O74" s="30"/>
    </row>
    <row r="75" spans="1:15" ht="13.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>
      <c r="A84" s="27"/>
      <c r="B84" s="26"/>
      <c r="C84" s="27"/>
      <c r="D84" s="27"/>
      <c r="E84" s="27"/>
      <c r="F84" s="27"/>
    </row>
    <row r="85" spans="1:15" ht="13.15">
      <c r="A85" s="1"/>
    </row>
    <row r="86" spans="1:15">
      <c r="A86" s="22"/>
      <c r="B86" s="23"/>
    </row>
    <row r="87" spans="1:15">
      <c r="A87" s="25"/>
      <c r="B87" s="289"/>
      <c r="C87" s="289"/>
      <c r="D87" s="289"/>
      <c r="E87" s="289"/>
      <c r="F87" s="289"/>
      <c r="G87" s="289"/>
      <c r="H87" s="289"/>
      <c r="I87" s="289"/>
      <c r="J87" s="289"/>
      <c r="K87" s="289"/>
      <c r="L87" s="289"/>
      <c r="M87" s="289"/>
    </row>
    <row r="88" spans="1:15">
      <c r="A88" s="25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  <c r="N88" s="31"/>
    </row>
    <row r="89" spans="1:15">
      <c r="A89" s="25"/>
      <c r="B89" s="26"/>
      <c r="C89" s="27"/>
      <c r="D89" s="27"/>
      <c r="E89" s="27"/>
      <c r="F89" s="27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3"/>
      <c r="B103" s="28"/>
      <c r="N103" s="31"/>
    </row>
    <row r="104" spans="1:14">
      <c r="A104" s="23"/>
      <c r="B104" s="28"/>
    </row>
    <row r="105" spans="1:14">
      <c r="A105" s="23"/>
      <c r="B105" s="28"/>
    </row>
    <row r="106" spans="1:14">
      <c r="A106" s="23"/>
      <c r="B106" s="23"/>
    </row>
  </sheetData>
  <mergeCells count="3">
    <mergeCell ref="B87:M87"/>
    <mergeCell ref="B88:M88"/>
    <mergeCell ref="B33:M33"/>
  </mergeCells>
  <phoneticPr fontId="3" type="noConversion"/>
  <pageMargins left="0.5" right="0.5" top="1" bottom="1" header="0.5" footer="0.5"/>
  <pageSetup orientation="landscape" r:id="rId1"/>
  <headerFooter alignWithMargins="0"/>
  <rowBreaks count="1" manualBreakCount="1">
    <brk id="58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R107"/>
  <sheetViews>
    <sheetView workbookViewId="0">
      <selection activeCell="G9" sqref="G9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86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6.5976562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79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3.1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>
      <c r="A7" s="6" t="s">
        <v>14</v>
      </c>
      <c r="B7" s="6">
        <v>3</v>
      </c>
      <c r="C7" s="6" t="s">
        <v>15</v>
      </c>
      <c r="D7" s="2" t="s">
        <v>16</v>
      </c>
      <c r="E7" s="2">
        <v>353</v>
      </c>
      <c r="F7" s="6" t="s">
        <v>17</v>
      </c>
      <c r="G7" s="34">
        <v>1901.2601080000002</v>
      </c>
      <c r="H7" s="34">
        <v>2031.2946210000002</v>
      </c>
      <c r="I7" s="34">
        <v>2170.0709500000003</v>
      </c>
      <c r="J7" s="34">
        <v>2317.5890950000003</v>
      </c>
      <c r="K7" s="34">
        <v>2458.0235338505258</v>
      </c>
      <c r="L7" s="34"/>
    </row>
    <row r="8" spans="1:14">
      <c r="A8" s="6" t="s">
        <v>14</v>
      </c>
      <c r="B8" s="6">
        <v>3</v>
      </c>
      <c r="C8" s="6" t="s">
        <v>19</v>
      </c>
      <c r="D8" s="2" t="s">
        <v>20</v>
      </c>
      <c r="E8" s="2">
        <v>353</v>
      </c>
      <c r="F8" s="6" t="s">
        <v>17</v>
      </c>
      <c r="G8" s="34">
        <v>1901.2601080000002</v>
      </c>
      <c r="H8" s="34">
        <v>2031.2946210000002</v>
      </c>
      <c r="I8" s="34">
        <v>2170.0709500000003</v>
      </c>
      <c r="J8" s="34">
        <v>2317.5890950000003</v>
      </c>
      <c r="K8" s="34">
        <v>2458.0235338505258</v>
      </c>
      <c r="L8" s="34"/>
    </row>
    <row r="9" spans="1:14">
      <c r="A9" s="6" t="s">
        <v>14</v>
      </c>
      <c r="B9" s="6">
        <v>3</v>
      </c>
      <c r="C9" s="6" t="s">
        <v>21</v>
      </c>
      <c r="D9" s="2" t="s">
        <v>22</v>
      </c>
      <c r="F9" s="6" t="s">
        <v>17</v>
      </c>
      <c r="G9" s="34">
        <v>1901.2601080000002</v>
      </c>
      <c r="H9" s="34">
        <v>2031.2946210000002</v>
      </c>
      <c r="I9" s="34">
        <v>2170.0709500000003</v>
      </c>
      <c r="J9" s="34">
        <v>2317.5890950000003</v>
      </c>
      <c r="K9" s="34">
        <v>2458.0235338505258</v>
      </c>
      <c r="L9" s="34"/>
    </row>
    <row r="10" spans="1:14">
      <c r="A10" s="6" t="s">
        <v>14</v>
      </c>
      <c r="B10" s="6">
        <v>3</v>
      </c>
      <c r="C10" s="6" t="s">
        <v>23</v>
      </c>
      <c r="D10" s="2" t="s">
        <v>24</v>
      </c>
      <c r="F10" s="6" t="s">
        <v>17</v>
      </c>
      <c r="G10" s="34">
        <v>2504.445412</v>
      </c>
      <c r="H10" s="34">
        <v>2602.7908420000003</v>
      </c>
      <c r="I10" s="34">
        <v>2760.9286786626753</v>
      </c>
      <c r="J10" s="34"/>
      <c r="K10" s="34"/>
      <c r="L10" s="34"/>
    </row>
    <row r="11" spans="1:14">
      <c r="A11" s="6" t="s">
        <v>14</v>
      </c>
      <c r="B11" s="6">
        <v>3</v>
      </c>
      <c r="C11" s="6" t="s">
        <v>77</v>
      </c>
      <c r="D11" s="2" t="s">
        <v>26</v>
      </c>
      <c r="F11" s="6" t="s">
        <v>17</v>
      </c>
      <c r="G11" s="34">
        <v>2504.445412</v>
      </c>
      <c r="H11" s="34">
        <v>2602.7908420000003</v>
      </c>
      <c r="I11" s="34">
        <v>2760.9286786626753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27</v>
      </c>
      <c r="D12" s="2" t="s">
        <v>28</v>
      </c>
      <c r="F12" s="6" t="s">
        <v>17</v>
      </c>
      <c r="G12" s="34">
        <v>2504.445412</v>
      </c>
      <c r="H12" s="34">
        <v>2602.7908420000003</v>
      </c>
      <c r="I12" s="34">
        <v>2760.9286786626753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29</v>
      </c>
      <c r="D13" s="2" t="s">
        <v>30</v>
      </c>
      <c r="F13" s="6" t="s">
        <v>17</v>
      </c>
      <c r="G13" s="34">
        <v>2838.8198740000003</v>
      </c>
      <c r="H13" s="34">
        <v>2951.3707550000004</v>
      </c>
      <c r="I13" s="34">
        <v>3132.015424336601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31</v>
      </c>
      <c r="D14" s="2" t="s">
        <v>32</v>
      </c>
      <c r="F14" s="6" t="s">
        <v>17</v>
      </c>
      <c r="G14" s="34">
        <v>2838.8198740000003</v>
      </c>
      <c r="H14" s="34">
        <v>2951.3707550000004</v>
      </c>
      <c r="I14" s="34">
        <v>3132.015424336601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33</v>
      </c>
      <c r="D15" s="2" t="s">
        <v>34</v>
      </c>
      <c r="F15" s="6" t="s">
        <v>17</v>
      </c>
      <c r="G15" s="34">
        <v>2838.8198740000003</v>
      </c>
      <c r="H15" s="34">
        <v>2951.3707550000004</v>
      </c>
      <c r="I15" s="34">
        <v>3132.015424336601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35</v>
      </c>
      <c r="D16" s="2" t="s">
        <v>36</v>
      </c>
      <c r="F16" s="6" t="s">
        <v>17</v>
      </c>
      <c r="G16" s="34">
        <v>2838.8198740000003</v>
      </c>
      <c r="H16" s="34">
        <v>2951.3707550000004</v>
      </c>
      <c r="I16" s="34">
        <v>3132.015424336601</v>
      </c>
      <c r="J16" s="34"/>
      <c r="K16" s="34"/>
      <c r="L16" s="34"/>
    </row>
    <row r="17" spans="1:18">
      <c r="A17" s="6" t="s">
        <v>14</v>
      </c>
      <c r="B17" s="6">
        <v>3</v>
      </c>
      <c r="C17" s="6" t="s">
        <v>37</v>
      </c>
      <c r="D17" s="2" t="s">
        <v>38</v>
      </c>
      <c r="F17" s="6" t="s">
        <v>17</v>
      </c>
      <c r="G17" s="34">
        <v>2838.8198740000003</v>
      </c>
      <c r="H17" s="34">
        <v>2951.3707550000004</v>
      </c>
      <c r="I17" s="34">
        <v>3132.015424336601</v>
      </c>
      <c r="J17" s="34"/>
      <c r="K17" s="34"/>
      <c r="L17" s="34"/>
    </row>
    <row r="18" spans="1:18" ht="39.75" customHeight="1">
      <c r="A18" s="6" t="s">
        <v>14</v>
      </c>
      <c r="B18" s="6">
        <v>3</v>
      </c>
      <c r="C18" s="6" t="s">
        <v>41</v>
      </c>
      <c r="D18" s="7" t="s">
        <v>40</v>
      </c>
      <c r="F18" s="6" t="s">
        <v>17</v>
      </c>
      <c r="G18" s="34">
        <v>2905.4762209999999</v>
      </c>
      <c r="H18" s="34">
        <v>2954.648936</v>
      </c>
      <c r="I18" s="34">
        <v>3004.9143780000004</v>
      </c>
      <c r="J18" s="34">
        <v>3055.1798200000003</v>
      </c>
      <c r="K18" s="34">
        <v>3241.553078180109</v>
      </c>
      <c r="L18" s="34"/>
    </row>
    <row r="19" spans="1:18" ht="13.15">
      <c r="A19" s="6" t="s">
        <v>14</v>
      </c>
      <c r="B19" s="6">
        <v>3</v>
      </c>
      <c r="C19" s="8" t="s">
        <v>39</v>
      </c>
      <c r="D19" s="9" t="s">
        <v>42</v>
      </c>
      <c r="E19" s="1"/>
      <c r="F19" s="6" t="s">
        <v>17</v>
      </c>
      <c r="G19" s="34">
        <v>2905.4762209999999</v>
      </c>
      <c r="H19" s="34">
        <v>2954.648936</v>
      </c>
      <c r="I19" s="34">
        <v>3004.9143780000004</v>
      </c>
      <c r="J19" s="34">
        <v>3055.1798200000003</v>
      </c>
      <c r="K19" s="34">
        <v>3241.553078180109</v>
      </c>
      <c r="L19" s="34"/>
    </row>
    <row r="20" spans="1:18">
      <c r="A20" s="10"/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 t="s">
        <v>44</v>
      </c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/>
      <c r="B22" s="10"/>
      <c r="C22" s="14">
        <v>0.79358912478459953</v>
      </c>
      <c r="D22" s="15" t="s">
        <v>45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/>
    </row>
    <row r="23" spans="1:18">
      <c r="A23" s="10"/>
      <c r="B23" s="10"/>
      <c r="C23" s="14">
        <v>0.34649666011721952</v>
      </c>
      <c r="D23" s="15" t="s">
        <v>46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B25" s="15" t="s">
        <v>47</v>
      </c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 t="s">
        <v>48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6" t="s">
        <v>49</v>
      </c>
      <c r="B28" s="12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5" t="s">
        <v>50</v>
      </c>
      <c r="B29" s="10"/>
      <c r="C29" s="17"/>
      <c r="D29" s="10"/>
      <c r="E29" s="10"/>
      <c r="F29" s="10"/>
      <c r="G29" s="17"/>
      <c r="H29" s="17"/>
      <c r="I29" s="17"/>
      <c r="J29" s="17"/>
      <c r="K29" s="17"/>
      <c r="L29" s="17"/>
      <c r="M29" s="17"/>
      <c r="N29" s="18"/>
    </row>
    <row r="30" spans="1:18">
      <c r="A30" s="10" t="s">
        <v>51</v>
      </c>
      <c r="B30" s="12"/>
      <c r="C30" s="11"/>
      <c r="D30" s="12"/>
      <c r="E30" s="12"/>
      <c r="F30" s="12"/>
      <c r="G30" s="11"/>
      <c r="H30" s="11"/>
      <c r="I30" s="11"/>
      <c r="J30" s="11"/>
      <c r="K30" s="11"/>
      <c r="L30" s="11"/>
      <c r="M30" s="11"/>
      <c r="N30" s="13"/>
    </row>
    <row r="31" spans="1:18">
      <c r="A31" s="19" t="s">
        <v>52</v>
      </c>
      <c r="B31" s="20"/>
      <c r="C31" s="20"/>
      <c r="D31" s="21"/>
      <c r="E31" s="21"/>
    </row>
    <row r="32" spans="1:18">
      <c r="A32" s="19"/>
      <c r="B32" s="20"/>
      <c r="C32" s="20"/>
      <c r="D32" s="21"/>
      <c r="E32" s="21"/>
    </row>
    <row r="33" spans="1:18">
      <c r="A33" s="22" t="s">
        <v>53</v>
      </c>
      <c r="B33" s="23"/>
    </row>
    <row r="34" spans="1:18">
      <c r="A34" s="14">
        <v>13.681029418821828</v>
      </c>
      <c r="B34" s="289" t="s">
        <v>54</v>
      </c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R34" s="25"/>
    </row>
    <row r="35" spans="1:18">
      <c r="A35" s="14">
        <v>19.403812966564292</v>
      </c>
      <c r="B35" s="26" t="s">
        <v>55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v>25.126596514306758</v>
      </c>
      <c r="B36" s="26" t="s">
        <v>56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v>30.849380062049221</v>
      </c>
      <c r="B37" s="26" t="s">
        <v>57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v>36.572163609791687</v>
      </c>
      <c r="B38" s="26" t="s">
        <v>58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v>110.532434577393</v>
      </c>
      <c r="B39" s="26" t="s">
        <v>59</v>
      </c>
      <c r="C39" s="27"/>
      <c r="D39" s="27"/>
      <c r="E39" s="27"/>
      <c r="F39" s="27"/>
      <c r="R39" s="25"/>
    </row>
    <row r="40" spans="1:18">
      <c r="A40" s="14">
        <v>116.74701983626962</v>
      </c>
      <c r="B40" s="26" t="s">
        <v>60</v>
      </c>
      <c r="C40" s="27"/>
      <c r="D40" s="27"/>
      <c r="E40" s="27"/>
      <c r="F40" s="27"/>
      <c r="R40" s="25"/>
    </row>
    <row r="41" spans="1:18">
      <c r="A41" s="14">
        <v>122.95042778352952</v>
      </c>
      <c r="B41" s="26" t="s">
        <v>61</v>
      </c>
      <c r="C41" s="27"/>
      <c r="D41" s="27"/>
      <c r="E41" s="27"/>
      <c r="F41" s="27"/>
      <c r="R41" s="25"/>
    </row>
    <row r="42" spans="1:18">
      <c r="A42" s="14">
        <v>160.81915954085659</v>
      </c>
      <c r="B42" s="26" t="s">
        <v>62</v>
      </c>
      <c r="C42" s="27"/>
      <c r="D42" s="27"/>
      <c r="E42" s="27"/>
      <c r="F42" s="27"/>
      <c r="R42" s="25"/>
    </row>
    <row r="43" spans="1:18">
      <c r="A43" s="14">
        <v>167.02256748811649</v>
      </c>
      <c r="B43" s="26" t="s">
        <v>63</v>
      </c>
      <c r="C43" s="27"/>
      <c r="D43" s="27"/>
      <c r="E43" s="27"/>
      <c r="F43" s="27"/>
      <c r="R43" s="25"/>
    </row>
    <row r="44" spans="1:18">
      <c r="A44" s="14">
        <v>173.23715274699308</v>
      </c>
      <c r="B44" s="26" t="s">
        <v>64</v>
      </c>
      <c r="C44" s="27"/>
      <c r="D44" s="27"/>
      <c r="E44" s="27"/>
      <c r="F44" s="27"/>
      <c r="R44" s="25"/>
    </row>
    <row r="45" spans="1:18">
      <c r="A45" s="14">
        <v>179.45173800586969</v>
      </c>
      <c r="B45" s="26" t="s">
        <v>65</v>
      </c>
      <c r="C45" s="27"/>
      <c r="D45" s="27"/>
      <c r="E45" s="27"/>
      <c r="F45" s="27"/>
      <c r="R45" s="25"/>
    </row>
    <row r="46" spans="1:18">
      <c r="A46" s="14">
        <v>197.06718111376441</v>
      </c>
      <c r="B46" s="26" t="s">
        <v>66</v>
      </c>
      <c r="C46" s="27"/>
      <c r="D46" s="27"/>
      <c r="E46" s="27"/>
      <c r="F46" s="27"/>
      <c r="R46" s="25"/>
    </row>
    <row r="47" spans="1:18">
      <c r="A47" s="14">
        <v>247.58862962117834</v>
      </c>
      <c r="B47" s="26" t="s">
        <v>67</v>
      </c>
      <c r="C47" s="27"/>
      <c r="D47" s="27"/>
      <c r="E47" s="27"/>
      <c r="F47" s="27"/>
      <c r="R47" s="25"/>
    </row>
    <row r="48" spans="1:18">
      <c r="A48" s="14">
        <v>253.80321488005495</v>
      </c>
      <c r="B48" s="26" t="s">
        <v>68</v>
      </c>
      <c r="C48" s="27"/>
      <c r="D48" s="27"/>
      <c r="E48" s="27"/>
      <c r="F48" s="27"/>
      <c r="R48" s="25"/>
    </row>
    <row r="49" spans="1:18">
      <c r="A49" s="14">
        <v>260.01780013893153</v>
      </c>
      <c r="B49" s="26" t="s">
        <v>69</v>
      </c>
      <c r="C49" s="27"/>
      <c r="D49" s="27"/>
      <c r="E49" s="27"/>
      <c r="F49" s="27"/>
      <c r="R49" s="25"/>
    </row>
    <row r="50" spans="1:18">
      <c r="A50" s="14">
        <v>266.23238539780812</v>
      </c>
      <c r="B50" s="26" t="s">
        <v>70</v>
      </c>
      <c r="C50" s="27"/>
      <c r="D50" s="27"/>
      <c r="E50" s="27"/>
      <c r="F50" s="27"/>
      <c r="R50" s="25"/>
    </row>
    <row r="51" spans="1:18">
      <c r="A51" s="14">
        <v>272.44697065668475</v>
      </c>
      <c r="B51" s="26" t="s">
        <v>71</v>
      </c>
      <c r="C51" s="27"/>
      <c r="D51" s="27"/>
      <c r="E51" s="27"/>
      <c r="F51" s="27"/>
      <c r="R51" s="25"/>
    </row>
    <row r="52" spans="1:18">
      <c r="A52" s="14">
        <v>297.64063104069157</v>
      </c>
      <c r="B52" s="26" t="s">
        <v>72</v>
      </c>
      <c r="C52" s="27"/>
      <c r="D52" s="27"/>
      <c r="E52" s="27"/>
      <c r="F52" s="27"/>
      <c r="R52" s="25"/>
    </row>
    <row r="53" spans="1:18">
      <c r="A53" s="23"/>
      <c r="B53" s="28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 ht="13.15">
      <c r="A60" s="3"/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8" ht="13.15">
      <c r="A61" s="1"/>
    </row>
    <row r="62" spans="1:18" ht="13.15">
      <c r="A62" s="4"/>
      <c r="B62" s="4"/>
      <c r="C62" s="4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D73" s="7"/>
      <c r="F73" s="6"/>
      <c r="G73" s="6"/>
      <c r="H73" s="6"/>
      <c r="I73" s="6"/>
      <c r="J73" s="6"/>
      <c r="K73" s="6"/>
      <c r="L73" s="6"/>
    </row>
    <row r="74" spans="1:15" ht="13.15">
      <c r="A74" s="1"/>
      <c r="B74" s="1"/>
      <c r="C74" s="8"/>
      <c r="D74" s="9"/>
      <c r="E74" s="1"/>
      <c r="F74" s="1"/>
      <c r="G74" s="6"/>
      <c r="H74" s="6"/>
      <c r="I74" s="6"/>
      <c r="J74" s="6"/>
      <c r="K74" s="6"/>
      <c r="L74" s="6"/>
    </row>
    <row r="75" spans="1:15" ht="13.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 ht="13.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>
      <c r="A85" s="27"/>
      <c r="B85" s="26"/>
      <c r="C85" s="27"/>
      <c r="D85" s="27"/>
      <c r="E85" s="27"/>
      <c r="F85" s="27"/>
    </row>
    <row r="86" spans="1:15" ht="13.15">
      <c r="A86" s="1"/>
    </row>
    <row r="87" spans="1:15">
      <c r="A87" s="22"/>
      <c r="B87" s="23"/>
    </row>
    <row r="88" spans="1:15">
      <c r="A88" s="25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</row>
    <row r="89" spans="1:15">
      <c r="A89" s="25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3"/>
      <c r="B104" s="28"/>
      <c r="N104" s="31"/>
    </row>
    <row r="105" spans="1:14">
      <c r="A105" s="23"/>
      <c r="B105" s="28"/>
    </row>
    <row r="106" spans="1:14">
      <c r="A106" s="23"/>
      <c r="B106" s="28"/>
    </row>
    <row r="107" spans="1:14">
      <c r="A107" s="23"/>
      <c r="B107" s="23"/>
    </row>
  </sheetData>
  <mergeCells count="3">
    <mergeCell ref="B34:M34"/>
    <mergeCell ref="B88:M88"/>
    <mergeCell ref="B89:M89"/>
  </mergeCells>
  <pageMargins left="0.5" right="0.5" top="1" bottom="1" header="0.5" footer="0.5"/>
  <pageSetup orientation="landscape" r:id="rId1"/>
  <headerFooter alignWithMargins="0"/>
  <rowBreaks count="1" manualBreakCount="1">
    <brk id="5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R107"/>
  <sheetViews>
    <sheetView topLeftCell="A2" workbookViewId="0">
      <selection activeCell="P30" sqref="P30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86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6.5976562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81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3.1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>
      <c r="A7" s="6" t="s">
        <v>14</v>
      </c>
      <c r="B7" s="6">
        <v>3</v>
      </c>
      <c r="C7" s="6" t="s">
        <v>15</v>
      </c>
      <c r="D7" s="2" t="s">
        <v>16</v>
      </c>
      <c r="E7" s="2">
        <v>353</v>
      </c>
      <c r="F7" s="6" t="s">
        <v>17</v>
      </c>
      <c r="G7" s="34">
        <f>'January 1, 2011'!G7</f>
        <v>1901.2601080000002</v>
      </c>
      <c r="H7" s="34">
        <f>'January 1, 2011'!H7</f>
        <v>2031.2946210000002</v>
      </c>
      <c r="I7" s="34">
        <f>'January 1, 2011'!I7</f>
        <v>2170.0709500000003</v>
      </c>
      <c r="J7" s="34">
        <f>'January 1, 2011'!J7</f>
        <v>2317.5890950000003</v>
      </c>
      <c r="K7" s="34">
        <f>'January 1, 2011'!K7</f>
        <v>2458.0235338505258</v>
      </c>
      <c r="L7" s="34"/>
    </row>
    <row r="8" spans="1:14">
      <c r="A8" s="6" t="s">
        <v>14</v>
      </c>
      <c r="B8" s="6">
        <v>3</v>
      </c>
      <c r="C8" s="6" t="s">
        <v>19</v>
      </c>
      <c r="D8" s="2" t="s">
        <v>20</v>
      </c>
      <c r="E8" s="2">
        <v>353</v>
      </c>
      <c r="F8" s="6" t="s">
        <v>17</v>
      </c>
      <c r="G8" s="34">
        <f>'January 1, 2011'!G8</f>
        <v>1901.2601080000002</v>
      </c>
      <c r="H8" s="34">
        <f>'January 1, 2011'!H8</f>
        <v>2031.2946210000002</v>
      </c>
      <c r="I8" s="34">
        <f>'January 1, 2011'!I8</f>
        <v>2170.0709500000003</v>
      </c>
      <c r="J8" s="34">
        <f>'January 1, 2011'!J8</f>
        <v>2317.5890950000003</v>
      </c>
      <c r="K8" s="34">
        <f>'January 1, 2011'!K8</f>
        <v>2458.0235338505258</v>
      </c>
      <c r="L8" s="34"/>
    </row>
    <row r="9" spans="1:14">
      <c r="A9" s="6" t="s">
        <v>14</v>
      </c>
      <c r="B9" s="6">
        <v>3</v>
      </c>
      <c r="C9" s="6" t="s">
        <v>21</v>
      </c>
      <c r="D9" s="2" t="s">
        <v>22</v>
      </c>
      <c r="F9" s="6" t="s">
        <v>17</v>
      </c>
      <c r="G9" s="34">
        <f>'January 1, 2011'!G9</f>
        <v>1901.2601080000002</v>
      </c>
      <c r="H9" s="34">
        <f>'January 1, 2011'!H9</f>
        <v>2031.2946210000002</v>
      </c>
      <c r="I9" s="34">
        <f>'January 1, 2011'!I9</f>
        <v>2170.0709500000003</v>
      </c>
      <c r="J9" s="34">
        <f>'January 1, 2011'!J9</f>
        <v>2317.5890950000003</v>
      </c>
      <c r="K9" s="34">
        <f>'January 1, 2011'!K9</f>
        <v>2458.0235338505258</v>
      </c>
      <c r="L9" s="34"/>
    </row>
    <row r="10" spans="1:14">
      <c r="A10" s="6" t="s">
        <v>14</v>
      </c>
      <c r="B10" s="6">
        <v>3</v>
      </c>
      <c r="C10" s="6" t="s">
        <v>23</v>
      </c>
      <c r="D10" s="2" t="s">
        <v>24</v>
      </c>
      <c r="F10" s="6" t="s">
        <v>17</v>
      </c>
      <c r="G10" s="34">
        <f>'January 1, 2011'!G10</f>
        <v>2504.445412</v>
      </c>
      <c r="H10" s="34">
        <f>'January 1, 2011'!H10</f>
        <v>2602.7908420000003</v>
      </c>
      <c r="I10" s="34">
        <f>'January 1, 2011'!I10</f>
        <v>2760.9286786626753</v>
      </c>
      <c r="J10" s="34">
        <f>'January 1, 2011'!J10</f>
        <v>0</v>
      </c>
      <c r="K10" s="34">
        <f>'January 1, 2011'!K10</f>
        <v>0</v>
      </c>
      <c r="L10" s="34"/>
    </row>
    <row r="11" spans="1:14">
      <c r="A11" s="6" t="s">
        <v>14</v>
      </c>
      <c r="B11" s="6">
        <v>3</v>
      </c>
      <c r="C11" s="6" t="s">
        <v>77</v>
      </c>
      <c r="D11" s="2" t="s">
        <v>26</v>
      </c>
      <c r="F11" s="6" t="s">
        <v>17</v>
      </c>
      <c r="G11" s="34">
        <f>'January 1, 2011'!G11</f>
        <v>2504.445412</v>
      </c>
      <c r="H11" s="34">
        <f>'January 1, 2011'!H11</f>
        <v>2602.7908420000003</v>
      </c>
      <c r="I11" s="34">
        <f>'January 1, 2011'!I11</f>
        <v>2760.9286786626753</v>
      </c>
      <c r="J11" s="34">
        <f>'January 1, 2011'!J11</f>
        <v>0</v>
      </c>
      <c r="K11" s="34">
        <f>'January 1, 2011'!K11</f>
        <v>0</v>
      </c>
      <c r="L11" s="34"/>
    </row>
    <row r="12" spans="1:14">
      <c r="A12" s="6" t="s">
        <v>14</v>
      </c>
      <c r="B12" s="6">
        <v>3</v>
      </c>
      <c r="C12" s="6" t="s">
        <v>27</v>
      </c>
      <c r="D12" s="2" t="s">
        <v>28</v>
      </c>
      <c r="F12" s="6" t="s">
        <v>17</v>
      </c>
      <c r="G12" s="34">
        <f>'January 1, 2011'!G12</f>
        <v>2504.445412</v>
      </c>
      <c r="H12" s="34">
        <f>'January 1, 2011'!H12</f>
        <v>2602.7908420000003</v>
      </c>
      <c r="I12" s="34">
        <f>'January 1, 2011'!I12</f>
        <v>2760.9286786626753</v>
      </c>
      <c r="J12" s="34">
        <f>'January 1, 2011'!J12</f>
        <v>0</v>
      </c>
      <c r="K12" s="34">
        <f>'January 1, 2011'!K12</f>
        <v>0</v>
      </c>
      <c r="L12" s="34"/>
    </row>
    <row r="13" spans="1:14">
      <c r="A13" s="6" t="s">
        <v>14</v>
      </c>
      <c r="B13" s="6">
        <v>3</v>
      </c>
      <c r="C13" s="6" t="s">
        <v>29</v>
      </c>
      <c r="D13" s="2" t="s">
        <v>30</v>
      </c>
      <c r="F13" s="6" t="s">
        <v>17</v>
      </c>
      <c r="G13" s="34">
        <f>'January 1, 2011'!G13</f>
        <v>2838.8198740000003</v>
      </c>
      <c r="H13" s="34">
        <f>'January 1, 2011'!H13</f>
        <v>2951.3707550000004</v>
      </c>
      <c r="I13" s="34">
        <f>'January 1, 2011'!I13</f>
        <v>3132.015424336601</v>
      </c>
      <c r="J13" s="34">
        <f>'January 1, 2011'!J13</f>
        <v>0</v>
      </c>
      <c r="K13" s="34">
        <f>'January 1, 2011'!K13</f>
        <v>0</v>
      </c>
      <c r="L13" s="34"/>
    </row>
    <row r="14" spans="1:14">
      <c r="A14" s="6" t="s">
        <v>14</v>
      </c>
      <c r="B14" s="6">
        <v>3</v>
      </c>
      <c r="C14" s="6" t="s">
        <v>31</v>
      </c>
      <c r="D14" s="2" t="s">
        <v>32</v>
      </c>
      <c r="F14" s="6" t="s">
        <v>17</v>
      </c>
      <c r="G14" s="34">
        <f>'January 1, 2011'!G14</f>
        <v>2838.8198740000003</v>
      </c>
      <c r="H14" s="34">
        <f>'January 1, 2011'!H14</f>
        <v>2951.3707550000004</v>
      </c>
      <c r="I14" s="34">
        <f>'January 1, 2011'!I14</f>
        <v>3132.015424336601</v>
      </c>
      <c r="J14" s="34">
        <f>'January 1, 2011'!J14</f>
        <v>0</v>
      </c>
      <c r="K14" s="34">
        <f>'January 1, 2011'!K14</f>
        <v>0</v>
      </c>
      <c r="L14" s="34"/>
    </row>
    <row r="15" spans="1:14">
      <c r="A15" s="6" t="s">
        <v>14</v>
      </c>
      <c r="B15" s="6">
        <v>3</v>
      </c>
      <c r="C15" s="6" t="s">
        <v>33</v>
      </c>
      <c r="D15" s="2" t="s">
        <v>34</v>
      </c>
      <c r="F15" s="6" t="s">
        <v>17</v>
      </c>
      <c r="G15" s="34">
        <f>'January 1, 2011'!G15</f>
        <v>2838.8198740000003</v>
      </c>
      <c r="H15" s="34">
        <f>'January 1, 2011'!H15</f>
        <v>2951.3707550000004</v>
      </c>
      <c r="I15" s="34">
        <f>'January 1, 2011'!I15</f>
        <v>3132.015424336601</v>
      </c>
      <c r="J15" s="34">
        <f>'January 1, 2011'!J15</f>
        <v>0</v>
      </c>
      <c r="K15" s="34">
        <f>'January 1, 2011'!K15</f>
        <v>0</v>
      </c>
      <c r="L15" s="34"/>
    </row>
    <row r="16" spans="1:14">
      <c r="A16" s="6" t="s">
        <v>14</v>
      </c>
      <c r="B16" s="6">
        <v>3</v>
      </c>
      <c r="C16" s="6" t="s">
        <v>35</v>
      </c>
      <c r="D16" s="2" t="s">
        <v>36</v>
      </c>
      <c r="F16" s="6" t="s">
        <v>17</v>
      </c>
      <c r="G16" s="34">
        <f>'January 1, 2011'!G16</f>
        <v>2838.8198740000003</v>
      </c>
      <c r="H16" s="34">
        <f>'January 1, 2011'!H16</f>
        <v>2951.3707550000004</v>
      </c>
      <c r="I16" s="34">
        <f>'January 1, 2011'!I16</f>
        <v>3132.015424336601</v>
      </c>
      <c r="J16" s="34">
        <f>'January 1, 2011'!J16</f>
        <v>0</v>
      </c>
      <c r="K16" s="34">
        <f>'January 1, 2011'!K16</f>
        <v>0</v>
      </c>
      <c r="L16" s="34"/>
    </row>
    <row r="17" spans="1:18">
      <c r="A17" s="6" t="s">
        <v>14</v>
      </c>
      <c r="B17" s="6">
        <v>3</v>
      </c>
      <c r="C17" s="6" t="s">
        <v>37</v>
      </c>
      <c r="D17" s="2" t="s">
        <v>38</v>
      </c>
      <c r="F17" s="6" t="s">
        <v>17</v>
      </c>
      <c r="G17" s="34">
        <f>'January 1, 2011'!G17</f>
        <v>2838.8198740000003</v>
      </c>
      <c r="H17" s="34">
        <f>'January 1, 2011'!H17</f>
        <v>2951.3707550000004</v>
      </c>
      <c r="I17" s="34">
        <f>'January 1, 2011'!I17</f>
        <v>3132.015424336601</v>
      </c>
      <c r="J17" s="34">
        <f>'January 1, 2011'!J17</f>
        <v>0</v>
      </c>
      <c r="K17" s="34">
        <f>'January 1, 2011'!K17</f>
        <v>0</v>
      </c>
      <c r="L17" s="34"/>
    </row>
    <row r="18" spans="1:18" ht="39.75" customHeight="1">
      <c r="A18" s="6" t="s">
        <v>14</v>
      </c>
      <c r="B18" s="6">
        <v>3</v>
      </c>
      <c r="C18" s="6" t="s">
        <v>41</v>
      </c>
      <c r="D18" s="7" t="s">
        <v>40</v>
      </c>
      <c r="F18" s="6" t="s">
        <v>17</v>
      </c>
      <c r="G18" s="34">
        <f>'January 1, 2011'!G18</f>
        <v>2905.4762209999999</v>
      </c>
      <c r="H18" s="34">
        <f>'January 1, 2011'!H18</f>
        <v>2954.648936</v>
      </c>
      <c r="I18" s="34">
        <f>'January 1, 2011'!I18</f>
        <v>3004.9143780000004</v>
      </c>
      <c r="J18" s="34">
        <f>'January 1, 2011'!J18</f>
        <v>3055.1798200000003</v>
      </c>
      <c r="K18" s="34">
        <f>'January 1, 2011'!K18</f>
        <v>3241.553078180109</v>
      </c>
      <c r="L18" s="34"/>
    </row>
    <row r="19" spans="1:18" ht="13.15">
      <c r="A19" s="6" t="s">
        <v>14</v>
      </c>
      <c r="B19" s="6">
        <v>3</v>
      </c>
      <c r="C19" s="8" t="s">
        <v>39</v>
      </c>
      <c r="D19" s="9" t="s">
        <v>42</v>
      </c>
      <c r="E19" s="1"/>
      <c r="F19" s="6" t="s">
        <v>17</v>
      </c>
      <c r="G19" s="34">
        <f>'January 1, 2011'!G19</f>
        <v>2905.4762209999999</v>
      </c>
      <c r="H19" s="34">
        <f>'January 1, 2011'!H19</f>
        <v>2954.648936</v>
      </c>
      <c r="I19" s="34">
        <f>'January 1, 2011'!I19</f>
        <v>3004.9143780000004</v>
      </c>
      <c r="J19" s="34">
        <f>'January 1, 2011'!J19</f>
        <v>3055.1798200000003</v>
      </c>
      <c r="K19" s="34">
        <f>'January 1, 2011'!K19</f>
        <v>3241.553078180109</v>
      </c>
      <c r="L19" s="34"/>
    </row>
    <row r="20" spans="1:18">
      <c r="A20" s="16"/>
      <c r="B20" s="10"/>
      <c r="C20" s="11"/>
      <c r="D20" s="12"/>
      <c r="E20" s="12"/>
      <c r="F20" s="12"/>
      <c r="G20" s="11"/>
      <c r="H20" s="11"/>
      <c r="I20" s="11"/>
      <c r="J20" s="11"/>
      <c r="K20" s="11"/>
      <c r="L20" s="11"/>
      <c r="M20" s="11"/>
      <c r="N20" s="13"/>
    </row>
    <row r="21" spans="1:18">
      <c r="A21" s="10" t="s">
        <v>44</v>
      </c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/>
      <c r="B22" s="10"/>
      <c r="C22" s="14">
        <f>'January 1, 2011'!C22</f>
        <v>0.79358912478459953</v>
      </c>
      <c r="D22" s="15" t="s">
        <v>45</v>
      </c>
      <c r="E22" s="12"/>
      <c r="F22" s="12"/>
      <c r="G22" s="11"/>
      <c r="H22" s="11"/>
      <c r="I22" s="11"/>
      <c r="J22" s="11"/>
      <c r="K22" s="11"/>
      <c r="L22" s="11"/>
      <c r="M22" s="11"/>
      <c r="N22" s="13"/>
      <c r="R22" s="11"/>
    </row>
    <row r="23" spans="1:18">
      <c r="A23" s="10"/>
      <c r="B23" s="10"/>
      <c r="C23" s="14">
        <f>'January 1, 2011'!C23</f>
        <v>0.34649666011721952</v>
      </c>
      <c r="D23" s="15" t="s">
        <v>46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C24" s="11"/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3"/>
    </row>
    <row r="25" spans="1:18">
      <c r="B25" s="15" t="s">
        <v>47</v>
      </c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A26" s="10"/>
      <c r="B26" s="10" t="s">
        <v>48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6" t="s">
        <v>49</v>
      </c>
      <c r="B28" s="12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5" t="s">
        <v>50</v>
      </c>
      <c r="B29" s="10"/>
      <c r="C29" s="17"/>
      <c r="D29" s="10"/>
      <c r="E29" s="10"/>
      <c r="F29" s="10"/>
      <c r="G29" s="17"/>
      <c r="H29" s="17"/>
      <c r="I29" s="17"/>
      <c r="J29" s="17"/>
      <c r="K29" s="17"/>
      <c r="L29" s="17"/>
      <c r="M29" s="17"/>
      <c r="N29" s="18"/>
    </row>
    <row r="30" spans="1:18">
      <c r="A30" s="10" t="s">
        <v>51</v>
      </c>
      <c r="B30" s="12"/>
      <c r="C30" s="11"/>
      <c r="D30" s="12"/>
      <c r="E30" s="12"/>
      <c r="F30" s="12"/>
      <c r="G30" s="11"/>
      <c r="H30" s="11"/>
      <c r="I30" s="11"/>
      <c r="J30" s="11"/>
      <c r="K30" s="11"/>
      <c r="L30" s="11"/>
      <c r="M30" s="11"/>
      <c r="N30" s="13"/>
    </row>
    <row r="31" spans="1:18">
      <c r="A31" s="19" t="s">
        <v>52</v>
      </c>
      <c r="B31" s="20"/>
      <c r="C31" s="20"/>
      <c r="D31" s="21"/>
      <c r="E31" s="21"/>
    </row>
    <row r="32" spans="1:18">
      <c r="A32" s="19"/>
      <c r="B32" s="20"/>
      <c r="C32" s="20"/>
      <c r="D32" s="21"/>
      <c r="E32" s="21"/>
    </row>
    <row r="33" spans="1:18">
      <c r="A33" s="22" t="s">
        <v>53</v>
      </c>
      <c r="B33" s="23"/>
    </row>
    <row r="34" spans="1:18">
      <c r="A34" s="14">
        <f>'January 1, 2011'!A34</f>
        <v>13.681029418821828</v>
      </c>
      <c r="B34" s="289" t="s">
        <v>54</v>
      </c>
      <c r="C34" s="289"/>
      <c r="D34" s="289"/>
      <c r="E34" s="289"/>
      <c r="F34" s="289"/>
      <c r="G34" s="289"/>
      <c r="H34" s="289"/>
      <c r="I34" s="289"/>
      <c r="J34" s="289"/>
      <c r="K34" s="289"/>
      <c r="L34" s="289"/>
      <c r="M34" s="289"/>
      <c r="R34" s="25"/>
    </row>
    <row r="35" spans="1:18">
      <c r="A35" s="14">
        <f>'January 1, 2011'!A35</f>
        <v>19.403812966564292</v>
      </c>
      <c r="B35" s="26" t="s">
        <v>55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R35" s="25"/>
    </row>
    <row r="36" spans="1:18">
      <c r="A36" s="14">
        <f>'January 1, 2011'!A36</f>
        <v>25.126596514306758</v>
      </c>
      <c r="B36" s="26" t="s">
        <v>56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2011'!A37</f>
        <v>30.849380062049221</v>
      </c>
      <c r="B37" s="26" t="s">
        <v>57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2011'!A38</f>
        <v>36.572163609791687</v>
      </c>
      <c r="B38" s="26" t="s">
        <v>58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f>'January 1, 2011'!A39</f>
        <v>110.532434577393</v>
      </c>
      <c r="B39" s="26" t="s">
        <v>59</v>
      </c>
      <c r="C39" s="27"/>
      <c r="D39" s="27"/>
      <c r="E39" s="27"/>
      <c r="F39" s="27"/>
      <c r="R39" s="25"/>
    </row>
    <row r="40" spans="1:18">
      <c r="A40" s="14">
        <f>'January 1, 2011'!A40</f>
        <v>116.74701983626962</v>
      </c>
      <c r="B40" s="26" t="s">
        <v>60</v>
      </c>
      <c r="C40" s="27"/>
      <c r="D40" s="27"/>
      <c r="E40" s="27"/>
      <c r="F40" s="27"/>
      <c r="R40" s="25"/>
    </row>
    <row r="41" spans="1:18">
      <c r="A41" s="14">
        <f>'January 1, 2011'!A41</f>
        <v>122.95042778352952</v>
      </c>
      <c r="B41" s="26" t="s">
        <v>61</v>
      </c>
      <c r="C41" s="27"/>
      <c r="D41" s="27"/>
      <c r="E41" s="27"/>
      <c r="F41" s="27"/>
      <c r="R41" s="25"/>
    </row>
    <row r="42" spans="1:18">
      <c r="A42" s="14">
        <f>'January 1, 2011'!A42</f>
        <v>160.81915954085659</v>
      </c>
      <c r="B42" s="26" t="s">
        <v>62</v>
      </c>
      <c r="C42" s="27"/>
      <c r="D42" s="27"/>
      <c r="E42" s="27"/>
      <c r="F42" s="27"/>
      <c r="R42" s="25"/>
    </row>
    <row r="43" spans="1:18">
      <c r="A43" s="14">
        <f>'January 1, 2011'!A43</f>
        <v>167.02256748811649</v>
      </c>
      <c r="B43" s="26" t="s">
        <v>63</v>
      </c>
      <c r="C43" s="27"/>
      <c r="D43" s="27"/>
      <c r="E43" s="27"/>
      <c r="F43" s="27"/>
      <c r="R43" s="25"/>
    </row>
    <row r="44" spans="1:18">
      <c r="A44" s="14">
        <f>'January 1, 2011'!A44</f>
        <v>173.23715274699308</v>
      </c>
      <c r="B44" s="26" t="s">
        <v>64</v>
      </c>
      <c r="C44" s="27"/>
      <c r="D44" s="27"/>
      <c r="E44" s="27"/>
      <c r="F44" s="27"/>
      <c r="R44" s="25"/>
    </row>
    <row r="45" spans="1:18">
      <c r="A45" s="14">
        <f>'January 1, 2011'!A45</f>
        <v>179.45173800586969</v>
      </c>
      <c r="B45" s="26" t="s">
        <v>65</v>
      </c>
      <c r="C45" s="27"/>
      <c r="D45" s="27"/>
      <c r="E45" s="27"/>
      <c r="F45" s="27"/>
      <c r="R45" s="25"/>
    </row>
    <row r="46" spans="1:18">
      <c r="A46" s="14">
        <f>'January 1, 2011'!A46</f>
        <v>197.06718111376441</v>
      </c>
      <c r="B46" s="26" t="s">
        <v>66</v>
      </c>
      <c r="C46" s="27"/>
      <c r="D46" s="27"/>
      <c r="E46" s="27"/>
      <c r="F46" s="27"/>
      <c r="R46" s="25"/>
    </row>
    <row r="47" spans="1:18">
      <c r="A47" s="14">
        <f>'January 1, 2011'!A47</f>
        <v>247.58862962117834</v>
      </c>
      <c r="B47" s="26" t="s">
        <v>67</v>
      </c>
      <c r="C47" s="27"/>
      <c r="D47" s="27"/>
      <c r="E47" s="27"/>
      <c r="F47" s="27"/>
      <c r="R47" s="25"/>
    </row>
    <row r="48" spans="1:18">
      <c r="A48" s="14">
        <f>'January 1, 2011'!A48</f>
        <v>253.80321488005495</v>
      </c>
      <c r="B48" s="26" t="s">
        <v>68</v>
      </c>
      <c r="C48" s="27"/>
      <c r="D48" s="27"/>
      <c r="E48" s="27"/>
      <c r="F48" s="27"/>
      <c r="R48" s="25"/>
    </row>
    <row r="49" spans="1:18">
      <c r="A49" s="14">
        <f>'January 1, 2011'!A49</f>
        <v>260.01780013893153</v>
      </c>
      <c r="B49" s="26" t="s">
        <v>69</v>
      </c>
      <c r="C49" s="27"/>
      <c r="D49" s="27"/>
      <c r="E49" s="27"/>
      <c r="F49" s="27"/>
      <c r="R49" s="25"/>
    </row>
    <row r="50" spans="1:18">
      <c r="A50" s="14">
        <f>'January 1, 2011'!A50</f>
        <v>266.23238539780812</v>
      </c>
      <c r="B50" s="26" t="s">
        <v>70</v>
      </c>
      <c r="C50" s="27"/>
      <c r="D50" s="27"/>
      <c r="E50" s="27"/>
      <c r="F50" s="27"/>
      <c r="R50" s="25"/>
    </row>
    <row r="51" spans="1:18">
      <c r="A51" s="14">
        <f>'January 1, 2011'!A51</f>
        <v>272.44697065668475</v>
      </c>
      <c r="B51" s="26" t="s">
        <v>71</v>
      </c>
      <c r="C51" s="27"/>
      <c r="D51" s="27"/>
      <c r="E51" s="27"/>
      <c r="F51" s="27"/>
      <c r="R51" s="25"/>
    </row>
    <row r="52" spans="1:18">
      <c r="A52" s="14">
        <f>'January 1, 2011'!A52</f>
        <v>297.64063104069157</v>
      </c>
      <c r="B52" s="26" t="s">
        <v>72</v>
      </c>
      <c r="C52" s="27"/>
      <c r="D52" s="27"/>
      <c r="E52" s="27"/>
      <c r="F52" s="27"/>
      <c r="R52" s="25"/>
    </row>
    <row r="53" spans="1:18">
      <c r="A53" s="23"/>
      <c r="B53" s="28"/>
    </row>
    <row r="54" spans="1:18">
      <c r="A54" s="19"/>
      <c r="B54" s="20"/>
      <c r="C54" s="20"/>
      <c r="D54" s="21"/>
      <c r="E54" s="21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 ht="13.15">
      <c r="A60" s="3"/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8" ht="13.15">
      <c r="A61" s="1"/>
    </row>
    <row r="62" spans="1:18" ht="13.15">
      <c r="A62" s="4"/>
      <c r="B62" s="4"/>
      <c r="C62" s="4"/>
      <c r="D62" s="4"/>
      <c r="E62" s="4"/>
      <c r="F62" s="4"/>
      <c r="G62" s="5"/>
      <c r="H62" s="5"/>
      <c r="I62" s="5"/>
      <c r="J62" s="5"/>
      <c r="K62" s="5"/>
      <c r="L62" s="5"/>
      <c r="M62" s="5"/>
      <c r="N62" s="5"/>
      <c r="O62" s="5"/>
    </row>
    <row r="63" spans="1:18">
      <c r="A63" s="6"/>
      <c r="B63" s="6"/>
      <c r="C63" s="6"/>
      <c r="F63" s="6"/>
      <c r="G63" s="6"/>
      <c r="H63" s="6"/>
      <c r="I63" s="6"/>
      <c r="J63" s="6"/>
      <c r="K63" s="6"/>
      <c r="L63" s="6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D73" s="7"/>
      <c r="F73" s="6"/>
      <c r="G73" s="6"/>
      <c r="H73" s="6"/>
      <c r="I73" s="6"/>
      <c r="J73" s="6"/>
      <c r="K73" s="6"/>
      <c r="L73" s="6"/>
    </row>
    <row r="74" spans="1:15" ht="13.15">
      <c r="A74" s="1"/>
      <c r="B74" s="1"/>
      <c r="C74" s="8"/>
      <c r="D74" s="9"/>
      <c r="E74" s="1"/>
      <c r="F74" s="1"/>
      <c r="G74" s="6"/>
      <c r="H74" s="6"/>
      <c r="I74" s="6"/>
      <c r="J74" s="6"/>
      <c r="K74" s="6"/>
      <c r="L74" s="6"/>
    </row>
    <row r="75" spans="1:15" ht="13.15">
      <c r="A75" s="1"/>
      <c r="B75" s="1"/>
      <c r="C75" s="1"/>
      <c r="D75" s="1"/>
      <c r="E75" s="1"/>
      <c r="F75" s="1"/>
      <c r="G75" s="1"/>
      <c r="H75" s="1"/>
      <c r="I75" s="1"/>
      <c r="J75" s="29"/>
      <c r="K75" s="29"/>
      <c r="L75" s="29"/>
      <c r="M75" s="30"/>
      <c r="N75" s="30"/>
      <c r="O75" s="30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 ht="13.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>
      <c r="A85" s="27"/>
      <c r="B85" s="26"/>
      <c r="C85" s="27"/>
      <c r="D85" s="27"/>
      <c r="E85" s="27"/>
      <c r="F85" s="27"/>
    </row>
    <row r="86" spans="1:15" ht="13.15">
      <c r="A86" s="1"/>
    </row>
    <row r="87" spans="1:15">
      <c r="A87" s="22"/>
      <c r="B87" s="23"/>
    </row>
    <row r="88" spans="1:15">
      <c r="A88" s="25"/>
      <c r="B88" s="289"/>
      <c r="C88" s="289"/>
      <c r="D88" s="289"/>
      <c r="E88" s="289"/>
      <c r="F88" s="289"/>
      <c r="G88" s="289"/>
      <c r="H88" s="289"/>
      <c r="I88" s="289"/>
      <c r="J88" s="289"/>
      <c r="K88" s="289"/>
      <c r="L88" s="289"/>
      <c r="M88" s="289"/>
    </row>
    <row r="89" spans="1:15">
      <c r="A89" s="25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  <c r="N89" s="31"/>
    </row>
    <row r="90" spans="1:15">
      <c r="A90" s="25"/>
      <c r="B90" s="26"/>
      <c r="C90" s="27"/>
      <c r="D90" s="27"/>
      <c r="E90" s="27"/>
      <c r="F90" s="27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3"/>
      <c r="B104" s="28"/>
      <c r="N104" s="31"/>
    </row>
    <row r="105" spans="1:14">
      <c r="A105" s="23"/>
      <c r="B105" s="28"/>
    </row>
    <row r="106" spans="1:14">
      <c r="A106" s="23"/>
      <c r="B106" s="28"/>
    </row>
    <row r="107" spans="1:14">
      <c r="A107" s="23"/>
      <c r="B107" s="23"/>
    </row>
  </sheetData>
  <mergeCells count="3">
    <mergeCell ref="B34:M34"/>
    <mergeCell ref="B88:M88"/>
    <mergeCell ref="B89:M89"/>
  </mergeCells>
  <pageMargins left="0.5" right="0.5" top="1" bottom="1" header="0.5" footer="0.5"/>
  <pageSetup orientation="landscape" r:id="rId1"/>
  <headerFooter alignWithMargins="0"/>
  <rowBreaks count="1" manualBreakCount="1">
    <brk id="5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R108"/>
  <sheetViews>
    <sheetView workbookViewId="0">
      <selection activeCell="A3" sqref="A3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86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6.5976562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82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3.1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 ht="13.15">
      <c r="A7" s="37" t="s">
        <v>14</v>
      </c>
      <c r="B7" s="35">
        <v>3</v>
      </c>
      <c r="C7" s="35"/>
      <c r="D7" s="38" t="s">
        <v>84</v>
      </c>
      <c r="E7" s="35"/>
      <c r="F7" s="35"/>
      <c r="G7" s="36">
        <f>G8*0.7</f>
        <v>1357.4997171120001</v>
      </c>
      <c r="H7" s="5"/>
      <c r="I7" s="5"/>
      <c r="J7" s="5"/>
      <c r="K7" s="5"/>
      <c r="L7" s="5"/>
      <c r="M7" s="5"/>
      <c r="N7" s="5"/>
    </row>
    <row r="8" spans="1:14">
      <c r="A8" s="6" t="s">
        <v>14</v>
      </c>
      <c r="B8" s="6">
        <v>3</v>
      </c>
      <c r="C8" s="6" t="s">
        <v>15</v>
      </c>
      <c r="D8" s="2" t="s">
        <v>16</v>
      </c>
      <c r="E8" s="2">
        <v>353</v>
      </c>
      <c r="F8" s="6" t="s">
        <v>17</v>
      </c>
      <c r="G8" s="34">
        <f>'January 1, 2012'!G7*1.02</f>
        <v>1939.2853101600001</v>
      </c>
      <c r="H8" s="34">
        <f>'January 1, 2012'!H7*1.02</f>
        <v>2071.9205134200001</v>
      </c>
      <c r="I8" s="34">
        <f>'January 1, 2012'!I7*1.02</f>
        <v>2213.4723690000005</v>
      </c>
      <c r="J8" s="34">
        <f>'January 1, 2012'!J7*1.02</f>
        <v>2363.9408769000001</v>
      </c>
      <c r="K8" s="34">
        <f>'January 1, 2012'!K7*1.02</f>
        <v>2507.1840045275362</v>
      </c>
      <c r="L8" s="34"/>
    </row>
    <row r="9" spans="1:14">
      <c r="A9" s="6" t="s">
        <v>14</v>
      </c>
      <c r="B9" s="6">
        <v>3</v>
      </c>
      <c r="C9" s="6" t="s">
        <v>19</v>
      </c>
      <c r="D9" s="2" t="s">
        <v>20</v>
      </c>
      <c r="E9" s="2">
        <v>353</v>
      </c>
      <c r="F9" s="6" t="s">
        <v>17</v>
      </c>
      <c r="G9" s="34">
        <f>'January 1, 2012'!G8*1.02</f>
        <v>1939.2853101600001</v>
      </c>
      <c r="H9" s="34">
        <f>'January 1, 2012'!H8*1.02</f>
        <v>2071.9205134200001</v>
      </c>
      <c r="I9" s="34">
        <f>'January 1, 2012'!I8*1.02</f>
        <v>2213.4723690000005</v>
      </c>
      <c r="J9" s="34">
        <f>'January 1, 2012'!J8*1.02</f>
        <v>2363.9408769000001</v>
      </c>
      <c r="K9" s="34">
        <f>'January 1, 2012'!K8*1.02</f>
        <v>2507.1840045275362</v>
      </c>
      <c r="L9" s="34"/>
    </row>
    <row r="10" spans="1:14">
      <c r="A10" s="6" t="s">
        <v>14</v>
      </c>
      <c r="B10" s="6">
        <v>3</v>
      </c>
      <c r="C10" s="6" t="s">
        <v>21</v>
      </c>
      <c r="D10" s="2" t="s">
        <v>22</v>
      </c>
      <c r="F10" s="6" t="s">
        <v>17</v>
      </c>
      <c r="G10" s="34">
        <f>'January 1, 2012'!G9*1.02</f>
        <v>1939.2853101600001</v>
      </c>
      <c r="H10" s="34">
        <f>'January 1, 2012'!H9*1.02</f>
        <v>2071.9205134200001</v>
      </c>
      <c r="I10" s="34">
        <f>'January 1, 2012'!I9*1.02</f>
        <v>2213.4723690000005</v>
      </c>
      <c r="J10" s="34">
        <f>'January 1, 2012'!J9*1.02</f>
        <v>2363.9408769000001</v>
      </c>
      <c r="K10" s="34">
        <f>'January 1, 2012'!K9*1.02</f>
        <v>2507.1840045275362</v>
      </c>
      <c r="L10" s="34"/>
    </row>
    <row r="11" spans="1:14">
      <c r="A11" s="6" t="s">
        <v>14</v>
      </c>
      <c r="B11" s="6">
        <v>3</v>
      </c>
      <c r="C11" s="6" t="s">
        <v>23</v>
      </c>
      <c r="D11" s="2" t="s">
        <v>24</v>
      </c>
      <c r="F11" s="6" t="s">
        <v>17</v>
      </c>
      <c r="G11" s="34">
        <f>'January 1, 2012'!G10*1.02</f>
        <v>2554.5343202399999</v>
      </c>
      <c r="H11" s="34">
        <f>'January 1, 2012'!H10*1.02</f>
        <v>2654.8466588400006</v>
      </c>
      <c r="I11" s="34">
        <f>'January 1, 2012'!I10*1.02</f>
        <v>2816.147252235929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77</v>
      </c>
      <c r="D12" s="2" t="s">
        <v>26</v>
      </c>
      <c r="F12" s="6" t="s">
        <v>17</v>
      </c>
      <c r="G12" s="34">
        <f>'January 1, 2012'!G11*1.02</f>
        <v>2554.5343202399999</v>
      </c>
      <c r="H12" s="34">
        <f>'January 1, 2012'!H11*1.02</f>
        <v>2654.8466588400006</v>
      </c>
      <c r="I12" s="34">
        <f>'January 1, 2012'!I11*1.02</f>
        <v>2816.147252235929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27</v>
      </c>
      <c r="D13" s="2" t="s">
        <v>28</v>
      </c>
      <c r="F13" s="6" t="s">
        <v>17</v>
      </c>
      <c r="G13" s="34">
        <f>'January 1, 2012'!G12*1.02</f>
        <v>2554.5343202399999</v>
      </c>
      <c r="H13" s="34">
        <f>'January 1, 2012'!H12*1.02</f>
        <v>2654.8466588400006</v>
      </c>
      <c r="I13" s="34">
        <f>'January 1, 2012'!I12*1.02</f>
        <v>2816.147252235929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29</v>
      </c>
      <c r="D14" s="2" t="s">
        <v>30</v>
      </c>
      <c r="F14" s="6" t="s">
        <v>17</v>
      </c>
      <c r="G14" s="34">
        <f>'January 1, 2012'!G13*1.02</f>
        <v>2895.5962714800003</v>
      </c>
      <c r="H14" s="34">
        <f>'January 1, 2012'!H13*1.02</f>
        <v>3010.3981701000002</v>
      </c>
      <c r="I14" s="34">
        <f>'January 1, 2012'!I13*1.02</f>
        <v>3194.655732823333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31</v>
      </c>
      <c r="D15" s="2" t="s">
        <v>32</v>
      </c>
      <c r="F15" s="6" t="s">
        <v>17</v>
      </c>
      <c r="G15" s="34">
        <f>'January 1, 2012'!G14*1.02</f>
        <v>2895.5962714800003</v>
      </c>
      <c r="H15" s="34">
        <f>'January 1, 2012'!H14*1.02</f>
        <v>3010.3981701000002</v>
      </c>
      <c r="I15" s="34">
        <f>'January 1, 2012'!I14*1.02</f>
        <v>3194.655732823333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33</v>
      </c>
      <c r="D16" s="2" t="s">
        <v>34</v>
      </c>
      <c r="F16" s="6" t="s">
        <v>17</v>
      </c>
      <c r="G16" s="34">
        <f>'January 1, 2012'!G15*1.02</f>
        <v>2895.5962714800003</v>
      </c>
      <c r="H16" s="34">
        <f>'January 1, 2012'!H15*1.02</f>
        <v>3010.3981701000002</v>
      </c>
      <c r="I16" s="34">
        <f>'January 1, 2012'!I15*1.02</f>
        <v>3194.655732823333</v>
      </c>
      <c r="J16" s="34"/>
      <c r="K16" s="34"/>
      <c r="L16" s="34"/>
    </row>
    <row r="17" spans="1:18">
      <c r="A17" s="6" t="s">
        <v>14</v>
      </c>
      <c r="B17" s="6">
        <v>3</v>
      </c>
      <c r="C17" s="6" t="s">
        <v>35</v>
      </c>
      <c r="D17" s="2" t="s">
        <v>36</v>
      </c>
      <c r="F17" s="6" t="s">
        <v>17</v>
      </c>
      <c r="G17" s="34">
        <f>'January 1, 2012'!G16*1.02</f>
        <v>2895.5962714800003</v>
      </c>
      <c r="H17" s="34">
        <f>'January 1, 2012'!H16*1.02</f>
        <v>3010.3981701000002</v>
      </c>
      <c r="I17" s="34">
        <f>'January 1, 2012'!I16*1.02</f>
        <v>3194.655732823333</v>
      </c>
      <c r="J17" s="34"/>
      <c r="K17" s="34"/>
      <c r="L17" s="34"/>
    </row>
    <row r="18" spans="1:18">
      <c r="A18" s="6" t="s">
        <v>14</v>
      </c>
      <c r="B18" s="6">
        <v>3</v>
      </c>
      <c r="C18" s="6" t="s">
        <v>37</v>
      </c>
      <c r="D18" s="2" t="s">
        <v>38</v>
      </c>
      <c r="F18" s="6" t="s">
        <v>17</v>
      </c>
      <c r="G18" s="34">
        <f>'January 1, 2012'!G17*1.02</f>
        <v>2895.5962714800003</v>
      </c>
      <c r="H18" s="34">
        <f>'January 1, 2012'!H17*1.02</f>
        <v>3010.3981701000002</v>
      </c>
      <c r="I18" s="34">
        <f>'January 1, 2012'!I17*1.02</f>
        <v>3194.655732823333</v>
      </c>
      <c r="J18" s="34"/>
      <c r="K18" s="34"/>
      <c r="L18" s="34"/>
    </row>
    <row r="19" spans="1:18" ht="39.75" customHeight="1">
      <c r="A19" s="6" t="s">
        <v>14</v>
      </c>
      <c r="B19" s="6">
        <v>3</v>
      </c>
      <c r="C19" s="6" t="s">
        <v>41</v>
      </c>
      <c r="D19" s="7" t="s">
        <v>40</v>
      </c>
      <c r="F19" s="6" t="s">
        <v>17</v>
      </c>
      <c r="G19" s="34">
        <f>'January 1, 2012'!G18*1.02</f>
        <v>2963.58574542</v>
      </c>
      <c r="H19" s="34">
        <f>'January 1, 2012'!H18*1.02</f>
        <v>3013.7419147200003</v>
      </c>
      <c r="I19" s="34">
        <f>'January 1, 2012'!I18*1.02</f>
        <v>3065.0126655600006</v>
      </c>
      <c r="J19" s="34">
        <f>'January 1, 2012'!J18*1.02</f>
        <v>3116.2834164000005</v>
      </c>
      <c r="K19" s="34">
        <f>'January 1, 2012'!K18*1.02</f>
        <v>3306.3841397437113</v>
      </c>
      <c r="L19" s="34"/>
    </row>
    <row r="20" spans="1:18" ht="13.15">
      <c r="A20" s="6" t="s">
        <v>14</v>
      </c>
      <c r="B20" s="6">
        <v>3</v>
      </c>
      <c r="C20" s="8" t="s">
        <v>39</v>
      </c>
      <c r="D20" s="9" t="s">
        <v>42</v>
      </c>
      <c r="E20" s="1"/>
      <c r="F20" s="6" t="s">
        <v>17</v>
      </c>
      <c r="G20" s="34">
        <f>'January 1, 2012'!G19*1.02</f>
        <v>2963.58574542</v>
      </c>
      <c r="H20" s="34">
        <f>'January 1, 2012'!H19*1.02</f>
        <v>3013.7419147200003</v>
      </c>
      <c r="I20" s="34">
        <f>'January 1, 2012'!I19*1.02</f>
        <v>3065.0126655600006</v>
      </c>
      <c r="J20" s="34">
        <f>'January 1, 2012'!J19*1.02</f>
        <v>3116.2834164000005</v>
      </c>
      <c r="K20" s="34">
        <f>'January 1, 2012'!K19*1.02</f>
        <v>3306.3841397437113</v>
      </c>
      <c r="L20" s="34"/>
    </row>
    <row r="21" spans="1:18">
      <c r="A21" s="16"/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 t="s">
        <v>44</v>
      </c>
      <c r="B22" s="10"/>
      <c r="C22" s="11"/>
      <c r="D22" s="12"/>
      <c r="E22" s="12"/>
      <c r="F22" s="12"/>
      <c r="G22" s="11"/>
      <c r="H22" s="11"/>
      <c r="I22" s="11"/>
      <c r="J22" s="11"/>
      <c r="K22" s="11"/>
      <c r="L22" s="11"/>
      <c r="M22" s="11"/>
      <c r="N22" s="13"/>
    </row>
    <row r="23" spans="1:18">
      <c r="A23" s="10"/>
      <c r="B23" s="10"/>
      <c r="C23" s="14">
        <f>'January 1, 2012'!C22*1.02</f>
        <v>0.80946090728029152</v>
      </c>
      <c r="D23" s="15" t="s">
        <v>45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A24" s="10"/>
      <c r="B24" s="10"/>
      <c r="C24" s="14">
        <f>'January 1, 2012'!C23*1.02</f>
        <v>0.35342659331956394</v>
      </c>
      <c r="D24" s="15" t="s">
        <v>46</v>
      </c>
      <c r="E24" s="12"/>
      <c r="F24" s="12"/>
      <c r="G24" s="11"/>
      <c r="H24" s="11"/>
      <c r="I24" s="11"/>
      <c r="J24" s="11"/>
      <c r="K24" s="11"/>
      <c r="L24" s="11"/>
      <c r="M24" s="11"/>
      <c r="N24" s="13"/>
      <c r="R24" s="11"/>
    </row>
    <row r="25" spans="1:18"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B26" s="15" t="s">
        <v>47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B27" s="10" t="s">
        <v>48</v>
      </c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0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6" t="s">
        <v>49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5" t="s">
        <v>50</v>
      </c>
      <c r="B30" s="10"/>
      <c r="C30" s="17"/>
      <c r="D30" s="10"/>
      <c r="E30" s="10"/>
      <c r="F30" s="10"/>
      <c r="G30" s="17"/>
      <c r="H30" s="17"/>
      <c r="I30" s="17"/>
      <c r="J30" s="17"/>
      <c r="K30" s="17"/>
      <c r="L30" s="17"/>
      <c r="M30" s="17"/>
      <c r="N30" s="18"/>
    </row>
    <row r="31" spans="1:18">
      <c r="A31" s="10" t="s">
        <v>51</v>
      </c>
      <c r="B31" s="12"/>
      <c r="C31" s="11"/>
      <c r="D31" s="12"/>
      <c r="E31" s="12"/>
      <c r="F31" s="12"/>
      <c r="G31" s="11"/>
      <c r="H31" s="11"/>
      <c r="I31" s="11"/>
      <c r="J31" s="11"/>
      <c r="K31" s="11"/>
      <c r="L31" s="11"/>
      <c r="M31" s="11"/>
      <c r="N31" s="13"/>
    </row>
    <row r="32" spans="1:18">
      <c r="A32" s="19" t="s">
        <v>52</v>
      </c>
      <c r="B32" s="20"/>
      <c r="C32" s="20"/>
      <c r="D32" s="21"/>
      <c r="E32" s="21"/>
    </row>
    <row r="33" spans="1:18">
      <c r="A33" s="19"/>
      <c r="B33" s="20"/>
      <c r="C33" s="20"/>
      <c r="D33" s="21"/>
      <c r="E33" s="21"/>
    </row>
    <row r="34" spans="1:18">
      <c r="A34" s="22" t="s">
        <v>53</v>
      </c>
      <c r="B34" s="23"/>
    </row>
    <row r="35" spans="1:18">
      <c r="A35" s="14">
        <f>'January 1, 2012'!A34*1.02</f>
        <v>13.954650007198264</v>
      </c>
      <c r="B35" s="290" t="s">
        <v>85</v>
      </c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R35" s="25"/>
    </row>
    <row r="36" spans="1:18">
      <c r="A36" s="14">
        <f>'January 1, 2012'!A35*1.02</f>
        <v>19.791889225895577</v>
      </c>
      <c r="B36" s="40" t="s">
        <v>86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R36" s="25"/>
    </row>
    <row r="37" spans="1:18">
      <c r="A37" s="14">
        <f>'January 1, 2012'!A36*1.02</f>
        <v>25.629128444592894</v>
      </c>
      <c r="B37" s="40" t="s">
        <v>87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2012'!A37*1.02</f>
        <v>31.466367663290207</v>
      </c>
      <c r="B38" s="40" t="s">
        <v>88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f>'January 1, 2012'!A38*1.02</f>
        <v>37.30360688198752</v>
      </c>
      <c r="B39" s="40" t="s">
        <v>89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R39" s="25"/>
    </row>
    <row r="40" spans="1:18">
      <c r="A40" s="14">
        <f>'January 1, 2012'!A39*1.02</f>
        <v>112.74308326894086</v>
      </c>
      <c r="B40" s="40" t="s">
        <v>90</v>
      </c>
      <c r="C40" s="27"/>
      <c r="D40" s="27"/>
      <c r="E40" s="27"/>
      <c r="F40" s="27"/>
      <c r="R40" s="25"/>
    </row>
    <row r="41" spans="1:18">
      <c r="A41" s="14">
        <f>'January 1, 2012'!A40*1.02</f>
        <v>119.08196023299502</v>
      </c>
      <c r="B41" s="40" t="s">
        <v>91</v>
      </c>
      <c r="C41" s="27"/>
      <c r="D41" s="27"/>
      <c r="E41" s="27"/>
      <c r="F41" s="27"/>
      <c r="R41" s="25"/>
    </row>
    <row r="42" spans="1:18">
      <c r="A42" s="14">
        <f>'January 1, 2012'!A41*1.02</f>
        <v>125.40943633920011</v>
      </c>
      <c r="B42" s="40" t="s">
        <v>92</v>
      </c>
      <c r="C42" s="27"/>
      <c r="D42" s="27"/>
      <c r="E42" s="27"/>
      <c r="F42" s="27"/>
      <c r="R42" s="25"/>
    </row>
    <row r="43" spans="1:18">
      <c r="A43" s="14">
        <f>'January 1, 2012'!A42*1.02</f>
        <v>164.03554273167373</v>
      </c>
      <c r="B43" s="40" t="s">
        <v>93</v>
      </c>
      <c r="C43" s="27"/>
      <c r="D43" s="27"/>
      <c r="E43" s="27"/>
      <c r="F43" s="27"/>
      <c r="R43" s="25"/>
    </row>
    <row r="44" spans="1:18">
      <c r="A44" s="14">
        <f>'January 1, 2012'!A43*1.02</f>
        <v>170.36301883787883</v>
      </c>
      <c r="B44" s="40" t="s">
        <v>94</v>
      </c>
      <c r="C44" s="27"/>
      <c r="D44" s="27"/>
      <c r="E44" s="27"/>
      <c r="F44" s="27"/>
      <c r="R44" s="25"/>
    </row>
    <row r="45" spans="1:18">
      <c r="A45" s="14">
        <f>'January 1, 2012'!A44*1.02</f>
        <v>176.70189580193295</v>
      </c>
      <c r="B45" s="40" t="s">
        <v>95</v>
      </c>
      <c r="C45" s="27"/>
      <c r="D45" s="27"/>
      <c r="E45" s="27"/>
      <c r="F45" s="27"/>
      <c r="R45" s="25"/>
    </row>
    <row r="46" spans="1:18">
      <c r="A46" s="14">
        <f>'January 1, 2012'!A45*1.02</f>
        <v>183.04077276598707</v>
      </c>
      <c r="B46" s="40" t="s">
        <v>96</v>
      </c>
      <c r="C46" s="27"/>
      <c r="D46" s="27"/>
      <c r="E46" s="27"/>
      <c r="F46" s="27"/>
      <c r="R46" s="25"/>
    </row>
    <row r="47" spans="1:18">
      <c r="A47" s="14">
        <f>'January 1, 2012'!A46*1.02</f>
        <v>201.0085247360397</v>
      </c>
      <c r="B47" s="40" t="s">
        <v>97</v>
      </c>
      <c r="C47" s="27"/>
      <c r="D47" s="27"/>
      <c r="E47" s="27"/>
      <c r="F47" s="27"/>
      <c r="R47" s="25"/>
    </row>
    <row r="48" spans="1:18">
      <c r="A48" s="14">
        <f>'January 1, 2012'!A47*1.02</f>
        <v>252.54040221360191</v>
      </c>
      <c r="B48" s="40" t="s">
        <v>98</v>
      </c>
      <c r="C48" s="27"/>
      <c r="D48" s="27"/>
      <c r="E48" s="27"/>
      <c r="F48" s="27"/>
      <c r="R48" s="25"/>
    </row>
    <row r="49" spans="1:18">
      <c r="A49" s="14">
        <f>'January 1, 2012'!A48*1.02</f>
        <v>258.87927917765603</v>
      </c>
      <c r="B49" s="40" t="s">
        <v>99</v>
      </c>
      <c r="C49" s="27"/>
      <c r="D49" s="27"/>
      <c r="E49" s="27"/>
      <c r="F49" s="27"/>
      <c r="R49" s="25"/>
    </row>
    <row r="50" spans="1:18">
      <c r="A50" s="14">
        <f>'January 1, 2012'!A49*1.02</f>
        <v>265.21815614171015</v>
      </c>
      <c r="B50" s="40" t="s">
        <v>100</v>
      </c>
      <c r="C50" s="27"/>
      <c r="D50" s="27"/>
      <c r="E50" s="27"/>
      <c r="F50" s="27"/>
      <c r="R50" s="25"/>
    </row>
    <row r="51" spans="1:18">
      <c r="A51" s="14">
        <f>'January 1, 2012'!A50*1.02</f>
        <v>271.55703310576428</v>
      </c>
      <c r="B51" s="40" t="s">
        <v>101</v>
      </c>
      <c r="C51" s="27"/>
      <c r="D51" s="27"/>
      <c r="E51" s="27"/>
      <c r="F51" s="27"/>
      <c r="R51" s="25"/>
    </row>
    <row r="52" spans="1:18">
      <c r="A52" s="14">
        <f>'January 1, 2012'!A51*1.02</f>
        <v>277.89591006981846</v>
      </c>
      <c r="B52" s="40" t="s">
        <v>102</v>
      </c>
      <c r="C52" s="27"/>
      <c r="D52" s="27"/>
      <c r="E52" s="27"/>
      <c r="F52" s="27"/>
      <c r="R52" s="25"/>
    </row>
    <row r="53" spans="1:18">
      <c r="A53" s="14">
        <f>'January 1, 2012'!A52*1.02</f>
        <v>303.59344366150543</v>
      </c>
      <c r="B53" s="40" t="s">
        <v>103</v>
      </c>
      <c r="C53" s="27"/>
      <c r="D53" s="27"/>
      <c r="E53" s="27"/>
      <c r="F53" s="27"/>
      <c r="R53" s="25"/>
    </row>
    <row r="54" spans="1:18">
      <c r="A54" s="23"/>
      <c r="B54" s="28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>
      <c r="A60" s="19"/>
      <c r="B60" s="20"/>
      <c r="C60" s="20"/>
      <c r="D60" s="21"/>
      <c r="E60" s="21"/>
    </row>
    <row r="61" spans="1:18" ht="13.15">
      <c r="A61" s="3"/>
      <c r="B61" s="4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8" ht="13.15">
      <c r="A62" s="1"/>
    </row>
    <row r="63" spans="1:18" ht="13.15">
      <c r="A63" s="4"/>
      <c r="B63" s="4"/>
      <c r="C63" s="4"/>
      <c r="D63" s="4"/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F73" s="6"/>
      <c r="G73" s="6"/>
      <c r="H73" s="6"/>
      <c r="I73" s="6"/>
      <c r="J73" s="6"/>
      <c r="K73" s="6"/>
      <c r="L73" s="6"/>
    </row>
    <row r="74" spans="1:15">
      <c r="A74" s="6"/>
      <c r="B74" s="6"/>
      <c r="C74" s="6"/>
      <c r="D74" s="7"/>
      <c r="F74" s="6"/>
      <c r="G74" s="6"/>
      <c r="H74" s="6"/>
      <c r="I74" s="6"/>
      <c r="J74" s="6"/>
      <c r="K74" s="6"/>
      <c r="L74" s="6"/>
    </row>
    <row r="75" spans="1:15" ht="13.15">
      <c r="A75" s="1"/>
      <c r="B75" s="1"/>
      <c r="C75" s="8"/>
      <c r="D75" s="9"/>
      <c r="E75" s="1"/>
      <c r="F75" s="1"/>
      <c r="G75" s="6"/>
      <c r="H75" s="6"/>
      <c r="I75" s="6"/>
      <c r="J75" s="6"/>
      <c r="K75" s="6"/>
      <c r="L75" s="6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 ht="13.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 ht="13.15">
      <c r="A85" s="1"/>
      <c r="B85" s="1"/>
      <c r="C85" s="1"/>
      <c r="D85" s="1"/>
      <c r="E85" s="1"/>
      <c r="F85" s="1"/>
      <c r="G85" s="1"/>
      <c r="H85" s="1"/>
      <c r="I85" s="1"/>
      <c r="J85" s="29"/>
      <c r="K85" s="29"/>
      <c r="L85" s="29"/>
      <c r="M85" s="30"/>
      <c r="N85" s="30"/>
      <c r="O85" s="30"/>
    </row>
    <row r="86" spans="1:15">
      <c r="A86" s="27"/>
      <c r="B86" s="26"/>
      <c r="C86" s="27"/>
      <c r="D86" s="27"/>
      <c r="E86" s="27"/>
      <c r="F86" s="27"/>
    </row>
    <row r="87" spans="1:15" ht="13.15">
      <c r="A87" s="1"/>
    </row>
    <row r="88" spans="1:15">
      <c r="A88" s="22"/>
      <c r="B88" s="23"/>
    </row>
    <row r="89" spans="1:15">
      <c r="A89" s="25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</row>
    <row r="90" spans="1:15">
      <c r="A90" s="25"/>
      <c r="B90" s="289"/>
      <c r="C90" s="289"/>
      <c r="D90" s="289"/>
      <c r="E90" s="289"/>
      <c r="F90" s="289"/>
      <c r="G90" s="289"/>
      <c r="H90" s="289"/>
      <c r="I90" s="289"/>
      <c r="J90" s="289"/>
      <c r="K90" s="289"/>
      <c r="L90" s="289"/>
      <c r="M90" s="289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5"/>
      <c r="B104" s="26"/>
      <c r="C104" s="27"/>
      <c r="D104" s="27"/>
      <c r="E104" s="27"/>
      <c r="F104" s="27"/>
      <c r="N104" s="31"/>
    </row>
    <row r="105" spans="1:14">
      <c r="A105" s="23"/>
      <c r="B105" s="28"/>
      <c r="N105" s="31"/>
    </row>
    <row r="106" spans="1:14">
      <c r="A106" s="23"/>
      <c r="B106" s="28"/>
    </row>
    <row r="107" spans="1:14">
      <c r="A107" s="23"/>
      <c r="B107" s="28"/>
    </row>
    <row r="108" spans="1:14">
      <c r="A108" s="23"/>
      <c r="B108" s="23"/>
    </row>
  </sheetData>
  <mergeCells count="3">
    <mergeCell ref="B35:M35"/>
    <mergeCell ref="B89:M89"/>
    <mergeCell ref="B90:M90"/>
  </mergeCells>
  <pageMargins left="0.5" right="0.5" top="1" bottom="1" header="0.5" footer="0.5"/>
  <pageSetup orientation="landscape" r:id="rId1"/>
  <headerFooter alignWithMargins="0"/>
  <rowBreaks count="1" manualBreakCount="1">
    <brk id="60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R108"/>
  <sheetViews>
    <sheetView topLeftCell="A22" workbookViewId="0">
      <selection activeCell="N39" sqref="N39"/>
    </sheetView>
  </sheetViews>
  <sheetFormatPr defaultColWidth="9.1328125" defaultRowHeight="12.75"/>
  <cols>
    <col min="1" max="1" width="12.59765625" style="2" customWidth="1"/>
    <col min="2" max="2" width="4.1328125" style="2" customWidth="1"/>
    <col min="3" max="3" width="8.86328125" style="2" customWidth="1"/>
    <col min="4" max="4" width="24" style="2" customWidth="1"/>
    <col min="5" max="5" width="17.3984375" style="2" hidden="1" customWidth="1"/>
    <col min="6" max="6" width="4.1328125" style="2" customWidth="1"/>
    <col min="7" max="7" width="6.59765625" style="2" customWidth="1"/>
    <col min="8" max="9" width="6.3984375" style="2" customWidth="1"/>
    <col min="10" max="10" width="6.1328125" style="2" customWidth="1"/>
    <col min="11" max="11" width="6.3984375" style="2" customWidth="1"/>
    <col min="12" max="12" width="6.1328125" style="2" customWidth="1"/>
    <col min="13" max="13" width="6.3984375" style="2" customWidth="1"/>
    <col min="14" max="15" width="6.59765625" style="2" customWidth="1"/>
    <col min="16" max="16384" width="9.1328125" style="2"/>
  </cols>
  <sheetData>
    <row r="1" spans="1:14" ht="13.15">
      <c r="A1" s="1" t="s">
        <v>0</v>
      </c>
      <c r="B1" s="1"/>
      <c r="C1" s="1"/>
      <c r="D1" s="1"/>
      <c r="E1" s="1"/>
      <c r="F1" s="1"/>
      <c r="G1" s="1"/>
      <c r="H1" s="1"/>
    </row>
    <row r="2" spans="1:14" ht="13.15">
      <c r="A2" s="1"/>
      <c r="B2" s="1"/>
      <c r="C2" s="1"/>
      <c r="D2" s="1"/>
      <c r="E2" s="1"/>
      <c r="F2" s="1"/>
      <c r="G2" s="1"/>
      <c r="H2" s="1"/>
    </row>
    <row r="3" spans="1:14" ht="13.15">
      <c r="A3" s="3" t="s">
        <v>83</v>
      </c>
      <c r="B3" s="4"/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ht="13.15">
      <c r="A4" s="3"/>
      <c r="B4" s="4"/>
      <c r="C4" s="4" t="s">
        <v>80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3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3.15">
      <c r="A6" s="4" t="s">
        <v>1</v>
      </c>
      <c r="B6" s="4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11</v>
      </c>
      <c r="L6" s="5"/>
      <c r="M6" s="5"/>
      <c r="N6" s="5"/>
    </row>
    <row r="7" spans="1:14" ht="13.15">
      <c r="A7" s="6" t="s">
        <v>14</v>
      </c>
      <c r="B7" s="6">
        <v>3</v>
      </c>
      <c r="C7" s="4"/>
      <c r="D7" s="2" t="s">
        <v>84</v>
      </c>
      <c r="E7" s="4"/>
      <c r="F7" s="4" t="s">
        <v>17</v>
      </c>
      <c r="G7" s="34">
        <f>G8*0.7</f>
        <v>1384.6497114542401</v>
      </c>
      <c r="H7" s="5"/>
      <c r="I7" s="5"/>
      <c r="J7" s="5"/>
      <c r="K7" s="5"/>
      <c r="L7" s="5"/>
      <c r="M7" s="5"/>
      <c r="N7" s="5"/>
    </row>
    <row r="8" spans="1:14">
      <c r="A8" s="6" t="s">
        <v>14</v>
      </c>
      <c r="B8" s="6">
        <v>3</v>
      </c>
      <c r="C8" s="6" t="s">
        <v>15</v>
      </c>
      <c r="D8" s="2" t="s">
        <v>16</v>
      </c>
      <c r="E8" s="2">
        <v>353</v>
      </c>
      <c r="F8" s="6" t="s">
        <v>17</v>
      </c>
      <c r="G8" s="34">
        <f>'January 1, 2013'!G8*1.02</f>
        <v>1978.0710163632002</v>
      </c>
      <c r="H8" s="34">
        <f>'January 1, 2013'!H8*1.02</f>
        <v>2113.3589236884</v>
      </c>
      <c r="I8" s="34">
        <f>'January 1, 2013'!I8*1.02</f>
        <v>2257.7418163800007</v>
      </c>
      <c r="J8" s="34">
        <f>'January 1, 2013'!J8*1.02</f>
        <v>2411.2196944380003</v>
      </c>
      <c r="K8" s="34">
        <f>'January 1, 2013'!K8*1.02</f>
        <v>2557.327684618087</v>
      </c>
      <c r="L8" s="34"/>
    </row>
    <row r="9" spans="1:14">
      <c r="A9" s="6" t="s">
        <v>14</v>
      </c>
      <c r="B9" s="6">
        <v>3</v>
      </c>
      <c r="C9" s="6" t="s">
        <v>19</v>
      </c>
      <c r="D9" s="2" t="s">
        <v>20</v>
      </c>
      <c r="E9" s="2">
        <v>353</v>
      </c>
      <c r="F9" s="6" t="s">
        <v>17</v>
      </c>
      <c r="G9" s="34">
        <f>'January 1, 2013'!G9*1.02</f>
        <v>1978.0710163632002</v>
      </c>
      <c r="H9" s="34">
        <f>'January 1, 2013'!H9*1.02</f>
        <v>2113.3589236884</v>
      </c>
      <c r="I9" s="34">
        <f>'January 1, 2013'!I9*1.02</f>
        <v>2257.7418163800007</v>
      </c>
      <c r="J9" s="34">
        <f>'January 1, 2013'!J9*1.02</f>
        <v>2411.2196944380003</v>
      </c>
      <c r="K9" s="34">
        <f>'January 1, 2013'!K9*1.02</f>
        <v>2557.327684618087</v>
      </c>
      <c r="L9" s="34"/>
    </row>
    <row r="10" spans="1:14">
      <c r="A10" s="6" t="s">
        <v>14</v>
      </c>
      <c r="B10" s="6">
        <v>3</v>
      </c>
      <c r="C10" s="6" t="s">
        <v>21</v>
      </c>
      <c r="D10" s="2" t="s">
        <v>22</v>
      </c>
      <c r="F10" s="6" t="s">
        <v>17</v>
      </c>
      <c r="G10" s="34">
        <f>'January 1, 2013'!G10*1.02</f>
        <v>1978.0710163632002</v>
      </c>
      <c r="H10" s="34">
        <f>'January 1, 2013'!H10*1.02</f>
        <v>2113.3589236884</v>
      </c>
      <c r="I10" s="34">
        <f>'January 1, 2013'!I10*1.02</f>
        <v>2257.7418163800007</v>
      </c>
      <c r="J10" s="34">
        <f>'January 1, 2013'!J10*1.02</f>
        <v>2411.2196944380003</v>
      </c>
      <c r="K10" s="34">
        <f>'January 1, 2013'!K10*1.02</f>
        <v>2557.327684618087</v>
      </c>
      <c r="L10" s="34"/>
    </row>
    <row r="11" spans="1:14">
      <c r="A11" s="6" t="s">
        <v>14</v>
      </c>
      <c r="B11" s="6">
        <v>3</v>
      </c>
      <c r="C11" s="6" t="s">
        <v>23</v>
      </c>
      <c r="D11" s="2" t="s">
        <v>24</v>
      </c>
      <c r="F11" s="6" t="s">
        <v>17</v>
      </c>
      <c r="G11" s="34">
        <f>'January 1, 2013'!G11*1.02</f>
        <v>2605.6250066448001</v>
      </c>
      <c r="H11" s="34">
        <f>'January 1, 2013'!H11*1.02</f>
        <v>2707.9435920168007</v>
      </c>
      <c r="I11" s="34">
        <f>'January 1, 2013'!I11*1.02</f>
        <v>2872.4701972806479</v>
      </c>
      <c r="J11" s="34"/>
      <c r="K11" s="34"/>
      <c r="L11" s="34"/>
    </row>
    <row r="12" spans="1:14">
      <c r="A12" s="6" t="s">
        <v>14</v>
      </c>
      <c r="B12" s="6">
        <v>3</v>
      </c>
      <c r="C12" s="6" t="s">
        <v>77</v>
      </c>
      <c r="D12" s="2" t="s">
        <v>26</v>
      </c>
      <c r="F12" s="6" t="s">
        <v>17</v>
      </c>
      <c r="G12" s="34">
        <f>'January 1, 2013'!G12*1.02</f>
        <v>2605.6250066448001</v>
      </c>
      <c r="H12" s="34">
        <f>'January 1, 2013'!H12*1.02</f>
        <v>2707.9435920168007</v>
      </c>
      <c r="I12" s="34">
        <f>'January 1, 2013'!I12*1.02</f>
        <v>2872.4701972806479</v>
      </c>
      <c r="J12" s="34"/>
      <c r="K12" s="34"/>
      <c r="L12" s="34"/>
    </row>
    <row r="13" spans="1:14">
      <c r="A13" s="6" t="s">
        <v>14</v>
      </c>
      <c r="B13" s="6">
        <v>3</v>
      </c>
      <c r="C13" s="6" t="s">
        <v>27</v>
      </c>
      <c r="D13" s="2" t="s">
        <v>28</v>
      </c>
      <c r="F13" s="6" t="s">
        <v>17</v>
      </c>
      <c r="G13" s="34">
        <f>'January 1, 2013'!G13*1.02</f>
        <v>2605.6250066448001</v>
      </c>
      <c r="H13" s="34">
        <f>'January 1, 2013'!H13*1.02</f>
        <v>2707.9435920168007</v>
      </c>
      <c r="I13" s="34">
        <f>'January 1, 2013'!I13*1.02</f>
        <v>2872.4701972806479</v>
      </c>
      <c r="J13" s="34"/>
      <c r="K13" s="34"/>
      <c r="L13" s="34"/>
    </row>
    <row r="14" spans="1:14">
      <c r="A14" s="6" t="s">
        <v>14</v>
      </c>
      <c r="B14" s="6">
        <v>3</v>
      </c>
      <c r="C14" s="6" t="s">
        <v>29</v>
      </c>
      <c r="D14" s="2" t="s">
        <v>30</v>
      </c>
      <c r="F14" s="6" t="s">
        <v>17</v>
      </c>
      <c r="G14" s="34">
        <f>'January 1, 2013'!G14*1.02</f>
        <v>2953.5081969096004</v>
      </c>
      <c r="H14" s="34">
        <f>'January 1, 2013'!H14*1.02</f>
        <v>3070.6061335020004</v>
      </c>
      <c r="I14" s="34">
        <f>'January 1, 2013'!I14*1.02</f>
        <v>3258.5488474797999</v>
      </c>
      <c r="J14" s="34"/>
      <c r="K14" s="34"/>
      <c r="L14" s="34"/>
    </row>
    <row r="15" spans="1:14">
      <c r="A15" s="6" t="s">
        <v>14</v>
      </c>
      <c r="B15" s="6">
        <v>3</v>
      </c>
      <c r="C15" s="6" t="s">
        <v>31</v>
      </c>
      <c r="D15" s="2" t="s">
        <v>32</v>
      </c>
      <c r="F15" s="6" t="s">
        <v>17</v>
      </c>
      <c r="G15" s="34">
        <f>'January 1, 2013'!G15*1.02</f>
        <v>2953.5081969096004</v>
      </c>
      <c r="H15" s="34">
        <f>'January 1, 2013'!H15*1.02</f>
        <v>3070.6061335020004</v>
      </c>
      <c r="I15" s="34">
        <f>'January 1, 2013'!I15*1.02</f>
        <v>3258.5488474797999</v>
      </c>
      <c r="J15" s="34"/>
      <c r="K15" s="34"/>
      <c r="L15" s="34"/>
    </row>
    <row r="16" spans="1:14">
      <c r="A16" s="6" t="s">
        <v>14</v>
      </c>
      <c r="B16" s="6">
        <v>3</v>
      </c>
      <c r="C16" s="6" t="s">
        <v>33</v>
      </c>
      <c r="D16" s="2" t="s">
        <v>34</v>
      </c>
      <c r="F16" s="6" t="s">
        <v>17</v>
      </c>
      <c r="G16" s="34">
        <f>'January 1, 2013'!G16*1.02</f>
        <v>2953.5081969096004</v>
      </c>
      <c r="H16" s="34">
        <f>'January 1, 2013'!H16*1.02</f>
        <v>3070.6061335020004</v>
      </c>
      <c r="I16" s="34">
        <f>'January 1, 2013'!I16*1.02</f>
        <v>3258.5488474797999</v>
      </c>
      <c r="J16" s="34"/>
      <c r="K16" s="34"/>
      <c r="L16" s="34"/>
    </row>
    <row r="17" spans="1:18">
      <c r="A17" s="6" t="s">
        <v>14</v>
      </c>
      <c r="B17" s="6">
        <v>3</v>
      </c>
      <c r="C17" s="6" t="s">
        <v>35</v>
      </c>
      <c r="D17" s="2" t="s">
        <v>36</v>
      </c>
      <c r="F17" s="6" t="s">
        <v>17</v>
      </c>
      <c r="G17" s="34">
        <f>'January 1, 2013'!G17*1.02</f>
        <v>2953.5081969096004</v>
      </c>
      <c r="H17" s="34">
        <f>'January 1, 2013'!H17*1.02</f>
        <v>3070.6061335020004</v>
      </c>
      <c r="I17" s="34">
        <f>'January 1, 2013'!I17*1.02</f>
        <v>3258.5488474797999</v>
      </c>
      <c r="J17" s="34"/>
      <c r="K17" s="34"/>
      <c r="L17" s="34"/>
    </row>
    <row r="18" spans="1:18">
      <c r="A18" s="6" t="s">
        <v>14</v>
      </c>
      <c r="B18" s="6">
        <v>3</v>
      </c>
      <c r="C18" s="6" t="s">
        <v>37</v>
      </c>
      <c r="D18" s="2" t="s">
        <v>38</v>
      </c>
      <c r="F18" s="6" t="s">
        <v>17</v>
      </c>
      <c r="G18" s="34">
        <f>'January 1, 2013'!G18*1.02</f>
        <v>2953.5081969096004</v>
      </c>
      <c r="H18" s="34">
        <f>'January 1, 2013'!H18*1.02</f>
        <v>3070.6061335020004</v>
      </c>
      <c r="I18" s="34">
        <f>'January 1, 2013'!I18*1.02</f>
        <v>3258.5488474797999</v>
      </c>
      <c r="J18" s="34"/>
      <c r="K18" s="34"/>
      <c r="L18" s="34"/>
    </row>
    <row r="19" spans="1:18" ht="39.75" customHeight="1">
      <c r="A19" s="6" t="s">
        <v>14</v>
      </c>
      <c r="B19" s="6">
        <v>3</v>
      </c>
      <c r="C19" s="6" t="s">
        <v>41</v>
      </c>
      <c r="D19" s="7" t="s">
        <v>40</v>
      </c>
      <c r="F19" s="6" t="s">
        <v>17</v>
      </c>
      <c r="G19" s="34">
        <f>'January 1, 2013'!G19*1.02</f>
        <v>3022.8574603284001</v>
      </c>
      <c r="H19" s="34">
        <f>'January 1, 2013'!H19*1.02</f>
        <v>3074.0167530144004</v>
      </c>
      <c r="I19" s="34">
        <f>'January 1, 2013'!I19*1.02</f>
        <v>3126.3129188712005</v>
      </c>
      <c r="J19" s="34">
        <f>'January 1, 2013'!J19*1.02</f>
        <v>3178.6090847280007</v>
      </c>
      <c r="K19" s="34">
        <f>'January 1, 2013'!K19*1.02</f>
        <v>3372.5118225385854</v>
      </c>
      <c r="L19" s="34"/>
    </row>
    <row r="20" spans="1:18" ht="13.15">
      <c r="A20" s="6" t="s">
        <v>14</v>
      </c>
      <c r="B20" s="6">
        <v>3</v>
      </c>
      <c r="C20" s="8" t="s">
        <v>39</v>
      </c>
      <c r="D20" s="9" t="s">
        <v>42</v>
      </c>
      <c r="E20" s="1"/>
      <c r="F20" s="6" t="s">
        <v>17</v>
      </c>
      <c r="G20" s="34">
        <f>'January 1, 2013'!G20*1.02</f>
        <v>3022.8574603284001</v>
      </c>
      <c r="H20" s="34">
        <f>'January 1, 2013'!H20*1.02</f>
        <v>3074.0167530144004</v>
      </c>
      <c r="I20" s="34">
        <f>'January 1, 2013'!I20*1.02</f>
        <v>3126.3129188712005</v>
      </c>
      <c r="J20" s="34">
        <f>'January 1, 2013'!J20*1.02</f>
        <v>3178.6090847280007</v>
      </c>
      <c r="K20" s="34">
        <f>'January 1, 2013'!K20*1.02</f>
        <v>3372.5118225385854</v>
      </c>
      <c r="L20" s="34"/>
    </row>
    <row r="21" spans="1:18">
      <c r="A21" s="16"/>
      <c r="B21" s="10"/>
      <c r="C21" s="11"/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3"/>
    </row>
    <row r="22" spans="1:18">
      <c r="A22" s="10" t="s">
        <v>44</v>
      </c>
      <c r="B22" s="10"/>
      <c r="C22" s="11"/>
      <c r="D22" s="12"/>
      <c r="E22" s="12"/>
      <c r="F22" s="12"/>
      <c r="G22" s="11"/>
      <c r="H22" s="11"/>
      <c r="I22" s="11"/>
      <c r="J22" s="11"/>
      <c r="K22" s="11"/>
      <c r="L22" s="11"/>
      <c r="M22" s="11"/>
      <c r="N22" s="13"/>
    </row>
    <row r="23" spans="1:18">
      <c r="A23" s="10"/>
      <c r="B23" s="10"/>
      <c r="C23" s="14">
        <f>'January 1, 2013'!C23*1.02</f>
        <v>0.82565012542589733</v>
      </c>
      <c r="D23" s="15" t="s">
        <v>45</v>
      </c>
      <c r="E23" s="12"/>
      <c r="F23" s="12"/>
      <c r="G23" s="11"/>
      <c r="H23" s="11"/>
      <c r="I23" s="11"/>
      <c r="J23" s="11"/>
      <c r="K23" s="11"/>
      <c r="L23" s="11"/>
      <c r="M23" s="11"/>
      <c r="N23" s="13"/>
      <c r="R23" s="11"/>
    </row>
    <row r="24" spans="1:18">
      <c r="A24" s="10"/>
      <c r="B24" s="10"/>
      <c r="C24" s="14">
        <f>'January 1, 2013'!C24*1.02</f>
        <v>0.36049512518595522</v>
      </c>
      <c r="D24" s="15" t="s">
        <v>46</v>
      </c>
      <c r="E24" s="12"/>
      <c r="F24" s="12"/>
      <c r="G24" s="11"/>
      <c r="H24" s="11"/>
      <c r="I24" s="11"/>
      <c r="J24" s="11"/>
      <c r="K24" s="11"/>
      <c r="L24" s="11"/>
      <c r="M24" s="11"/>
      <c r="N24" s="13"/>
      <c r="R24" s="11"/>
    </row>
    <row r="25" spans="1:18">
      <c r="C25" s="11"/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3"/>
    </row>
    <row r="26" spans="1:18">
      <c r="B26" s="15" t="s">
        <v>47</v>
      </c>
      <c r="C26" s="11"/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3"/>
    </row>
    <row r="27" spans="1:18">
      <c r="A27" s="10"/>
      <c r="B27" s="10" t="s">
        <v>48</v>
      </c>
      <c r="C27" s="11"/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3"/>
    </row>
    <row r="28" spans="1:18">
      <c r="A28" s="10"/>
      <c r="C28" s="11"/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3"/>
    </row>
    <row r="29" spans="1:18">
      <c r="A29" s="16" t="s">
        <v>49</v>
      </c>
      <c r="B29" s="12"/>
      <c r="C29" s="11"/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3"/>
    </row>
    <row r="30" spans="1:18">
      <c r="A30" s="15" t="s">
        <v>50</v>
      </c>
      <c r="B30" s="10"/>
      <c r="C30" s="17"/>
      <c r="D30" s="10"/>
      <c r="E30" s="10"/>
      <c r="F30" s="10"/>
      <c r="G30" s="17"/>
      <c r="H30" s="17"/>
      <c r="I30" s="17"/>
      <c r="J30" s="17"/>
      <c r="K30" s="17"/>
      <c r="L30" s="17"/>
      <c r="M30" s="17"/>
      <c r="N30" s="18"/>
    </row>
    <row r="31" spans="1:18">
      <c r="A31" s="10" t="s">
        <v>51</v>
      </c>
      <c r="B31" s="12"/>
      <c r="C31" s="11"/>
      <c r="D31" s="12"/>
      <c r="E31" s="12"/>
      <c r="F31" s="12"/>
      <c r="G31" s="11"/>
      <c r="H31" s="11"/>
      <c r="I31" s="11"/>
      <c r="J31" s="11"/>
      <c r="K31" s="11"/>
      <c r="L31" s="11"/>
      <c r="M31" s="11"/>
      <c r="N31" s="13"/>
    </row>
    <row r="32" spans="1:18">
      <c r="A32" s="19" t="s">
        <v>52</v>
      </c>
      <c r="B32" s="20"/>
      <c r="C32" s="20"/>
      <c r="D32" s="21"/>
      <c r="E32" s="21"/>
    </row>
    <row r="33" spans="1:18">
      <c r="A33" s="19"/>
      <c r="B33" s="20"/>
      <c r="C33" s="20"/>
      <c r="D33" s="21"/>
      <c r="E33" s="21"/>
    </row>
    <row r="34" spans="1:18">
      <c r="A34" s="22" t="s">
        <v>53</v>
      </c>
      <c r="B34" s="39"/>
    </row>
    <row r="35" spans="1:18">
      <c r="A35" s="14">
        <f>'January 1, 2013'!A35*1.02</f>
        <v>14.23374300734223</v>
      </c>
      <c r="B35" s="290" t="s">
        <v>104</v>
      </c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</row>
    <row r="36" spans="1:18">
      <c r="A36" s="14">
        <f>'January 1, 2013'!A36*1.02</f>
        <v>20.187727010413489</v>
      </c>
      <c r="B36" s="290" t="s">
        <v>85</v>
      </c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R36" s="25"/>
    </row>
    <row r="37" spans="1:18">
      <c r="A37" s="14">
        <f>'January 1, 2013'!A37*1.02</f>
        <v>26.141711013484752</v>
      </c>
      <c r="B37" s="40" t="s">
        <v>86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R37" s="25"/>
    </row>
    <row r="38" spans="1:18">
      <c r="A38" s="14">
        <f>'January 1, 2013'!A38*1.02</f>
        <v>32.095695016556014</v>
      </c>
      <c r="B38" s="40" t="s">
        <v>87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R38" s="25"/>
    </row>
    <row r="39" spans="1:18">
      <c r="A39" s="14">
        <f>'January 1, 2013'!A39*1.02</f>
        <v>38.04967901962727</v>
      </c>
      <c r="B39" s="40" t="s">
        <v>88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R39" s="25"/>
    </row>
    <row r="40" spans="1:18">
      <c r="A40" s="14">
        <f>'January 1, 2013'!A40*1.02</f>
        <v>114.99794493431969</v>
      </c>
      <c r="B40" s="40" t="s">
        <v>89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R40" s="25"/>
    </row>
    <row r="41" spans="1:18">
      <c r="A41" s="14">
        <f>'January 1, 2013'!A41*1.02</f>
        <v>121.46359943765492</v>
      </c>
      <c r="B41" s="40" t="s">
        <v>90</v>
      </c>
      <c r="C41" s="27"/>
      <c r="D41" s="27"/>
      <c r="E41" s="27"/>
      <c r="F41" s="27"/>
      <c r="R41" s="25"/>
    </row>
    <row r="42" spans="1:18">
      <c r="A42" s="14">
        <f>'January 1, 2013'!A42*1.02</f>
        <v>127.91762506598411</v>
      </c>
      <c r="B42" s="40" t="s">
        <v>91</v>
      </c>
      <c r="C42" s="27"/>
      <c r="D42" s="27"/>
      <c r="E42" s="27"/>
      <c r="F42" s="27"/>
      <c r="R42" s="25"/>
    </row>
    <row r="43" spans="1:18">
      <c r="A43" s="14">
        <f>'January 1, 2013'!A43*1.02</f>
        <v>167.3162535863072</v>
      </c>
      <c r="B43" s="40" t="s">
        <v>92</v>
      </c>
      <c r="C43" s="27"/>
      <c r="D43" s="27"/>
      <c r="E43" s="27"/>
      <c r="F43" s="27"/>
      <c r="R43" s="25"/>
    </row>
    <row r="44" spans="1:18">
      <c r="A44" s="14">
        <f>'January 1, 2013'!A44*1.02</f>
        <v>173.77027921463642</v>
      </c>
      <c r="B44" s="40" t="s">
        <v>93</v>
      </c>
      <c r="C44" s="27"/>
      <c r="D44" s="27"/>
      <c r="E44" s="27"/>
      <c r="F44" s="27"/>
      <c r="R44" s="25"/>
    </row>
    <row r="45" spans="1:18">
      <c r="A45" s="14">
        <f>'January 1, 2013'!A45*1.02</f>
        <v>180.23593371797162</v>
      </c>
      <c r="B45" s="40" t="s">
        <v>94</v>
      </c>
      <c r="C45" s="27"/>
      <c r="D45" s="27"/>
      <c r="E45" s="27"/>
      <c r="F45" s="27"/>
      <c r="R45" s="25"/>
    </row>
    <row r="46" spans="1:18">
      <c r="A46" s="14">
        <f>'January 1, 2013'!A46*1.02</f>
        <v>186.70158822130682</v>
      </c>
      <c r="B46" s="40" t="s">
        <v>95</v>
      </c>
      <c r="C46" s="27"/>
      <c r="D46" s="27"/>
      <c r="E46" s="27"/>
      <c r="F46" s="27"/>
      <c r="R46" s="25"/>
    </row>
    <row r="47" spans="1:18">
      <c r="A47" s="14">
        <f>'January 1, 2013'!A47*1.02</f>
        <v>205.02869523076049</v>
      </c>
      <c r="B47" s="40" t="s">
        <v>96</v>
      </c>
      <c r="C47" s="27"/>
      <c r="D47" s="27"/>
      <c r="E47" s="27"/>
      <c r="F47" s="27"/>
      <c r="R47" s="25"/>
    </row>
    <row r="48" spans="1:18">
      <c r="A48" s="14">
        <f>'January 1, 2013'!A48*1.02</f>
        <v>257.59121025787397</v>
      </c>
      <c r="B48" s="40" t="s">
        <v>97</v>
      </c>
      <c r="C48" s="27"/>
      <c r="D48" s="27"/>
      <c r="E48" s="27"/>
      <c r="F48" s="27"/>
      <c r="R48" s="25"/>
    </row>
    <row r="49" spans="1:18">
      <c r="A49" s="14">
        <f>'January 1, 2013'!A49*1.02</f>
        <v>264.05686476120917</v>
      </c>
      <c r="B49" s="40" t="s">
        <v>98</v>
      </c>
      <c r="C49" s="27"/>
      <c r="D49" s="27"/>
      <c r="E49" s="27"/>
      <c r="F49" s="27"/>
      <c r="R49" s="25"/>
    </row>
    <row r="50" spans="1:18">
      <c r="A50" s="14">
        <f>'January 1, 2013'!A50*1.02</f>
        <v>270.52251926454437</v>
      </c>
      <c r="B50" s="40" t="s">
        <v>99</v>
      </c>
      <c r="C50" s="27"/>
      <c r="D50" s="27"/>
      <c r="E50" s="27"/>
      <c r="F50" s="27"/>
      <c r="R50" s="25"/>
    </row>
    <row r="51" spans="1:18">
      <c r="A51" s="14">
        <f>'January 1, 2013'!A51*1.02</f>
        <v>276.98817376787957</v>
      </c>
      <c r="B51" s="40" t="s">
        <v>100</v>
      </c>
      <c r="C51" s="27"/>
      <c r="D51" s="27"/>
      <c r="E51" s="27"/>
      <c r="F51" s="27"/>
      <c r="R51" s="25"/>
    </row>
    <row r="52" spans="1:18">
      <c r="A52" s="14">
        <f>'January 1, 2013'!A52*1.02</f>
        <v>283.45382827121483</v>
      </c>
      <c r="B52" s="40" t="s">
        <v>101</v>
      </c>
      <c r="C52" s="27"/>
      <c r="D52" s="27"/>
      <c r="E52" s="27"/>
      <c r="F52" s="27"/>
      <c r="R52" s="25"/>
    </row>
    <row r="53" spans="1:18">
      <c r="A53" s="14">
        <f>'January 1, 2013'!A53*1.02</f>
        <v>309.66531253473556</v>
      </c>
      <c r="B53" s="40" t="s">
        <v>102</v>
      </c>
      <c r="C53" s="27"/>
      <c r="D53" s="27"/>
      <c r="E53" s="27"/>
      <c r="F53" s="27"/>
      <c r="R53" s="25"/>
    </row>
    <row r="54" spans="1:18">
      <c r="A54" s="19"/>
      <c r="B54" s="28"/>
    </row>
    <row r="55" spans="1:18">
      <c r="A55" s="19"/>
      <c r="B55" s="20"/>
      <c r="C55" s="20"/>
      <c r="D55" s="21"/>
      <c r="E55" s="21"/>
    </row>
    <row r="56" spans="1:18">
      <c r="A56" s="19"/>
      <c r="B56" s="20"/>
      <c r="C56" s="20"/>
      <c r="D56" s="21"/>
      <c r="E56" s="21"/>
    </row>
    <row r="57" spans="1:18">
      <c r="A57" s="19"/>
      <c r="B57" s="20"/>
      <c r="C57" s="20"/>
      <c r="D57" s="21"/>
      <c r="E57" s="21"/>
    </row>
    <row r="58" spans="1:18">
      <c r="A58" s="19"/>
      <c r="B58" s="20"/>
      <c r="C58" s="20"/>
      <c r="D58" s="21"/>
      <c r="E58" s="21"/>
    </row>
    <row r="59" spans="1:18">
      <c r="A59" s="19"/>
      <c r="B59" s="20"/>
      <c r="C59" s="20"/>
      <c r="D59" s="21"/>
      <c r="E59" s="21"/>
    </row>
    <row r="60" spans="1:18" ht="13.15">
      <c r="A60" s="3"/>
      <c r="B60" s="20"/>
      <c r="C60" s="20"/>
      <c r="D60" s="21"/>
      <c r="E60" s="21"/>
    </row>
    <row r="61" spans="1:18" ht="13.15">
      <c r="A61" s="1"/>
      <c r="B61" s="4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8" ht="13.15">
      <c r="A62" s="4"/>
    </row>
    <row r="63" spans="1:18" ht="13.15">
      <c r="A63" s="6"/>
      <c r="B63" s="4"/>
      <c r="C63" s="4"/>
      <c r="D63" s="4"/>
      <c r="E63" s="4"/>
      <c r="F63" s="4"/>
      <c r="G63" s="5"/>
      <c r="H63" s="5"/>
      <c r="I63" s="5"/>
      <c r="J63" s="5"/>
      <c r="K63" s="5"/>
      <c r="L63" s="5"/>
      <c r="M63" s="5"/>
      <c r="N63" s="5"/>
      <c r="O63" s="5"/>
    </row>
    <row r="64" spans="1:18">
      <c r="A64" s="6"/>
      <c r="B64" s="6"/>
      <c r="C64" s="6"/>
      <c r="F64" s="6"/>
      <c r="G64" s="6"/>
      <c r="H64" s="6"/>
      <c r="I64" s="6"/>
      <c r="J64" s="6"/>
      <c r="K64" s="6"/>
      <c r="L64" s="6"/>
    </row>
    <row r="65" spans="1:15">
      <c r="A65" s="6"/>
      <c r="B65" s="6"/>
      <c r="C65" s="6"/>
      <c r="F65" s="6"/>
      <c r="G65" s="6"/>
      <c r="H65" s="6"/>
      <c r="I65" s="6"/>
      <c r="J65" s="6"/>
      <c r="K65" s="6"/>
      <c r="L65" s="6"/>
    </row>
    <row r="66" spans="1:15">
      <c r="A66" s="6"/>
      <c r="B66" s="6"/>
      <c r="C66" s="6"/>
      <c r="F66" s="6"/>
      <c r="G66" s="6"/>
      <c r="H66" s="6"/>
      <c r="I66" s="6"/>
      <c r="J66" s="6"/>
      <c r="K66" s="6"/>
      <c r="L66" s="6"/>
    </row>
    <row r="67" spans="1:15">
      <c r="A67" s="6"/>
      <c r="B67" s="6"/>
      <c r="C67" s="6"/>
      <c r="F67" s="6"/>
      <c r="G67" s="6"/>
      <c r="H67" s="6"/>
      <c r="I67" s="6"/>
      <c r="J67" s="6"/>
      <c r="K67" s="6"/>
      <c r="L67" s="6"/>
    </row>
    <row r="68" spans="1:15">
      <c r="A68" s="6"/>
      <c r="B68" s="6"/>
      <c r="C68" s="6"/>
      <c r="F68" s="6"/>
      <c r="G68" s="6"/>
      <c r="H68" s="6"/>
      <c r="I68" s="6"/>
      <c r="J68" s="6"/>
      <c r="K68" s="6"/>
      <c r="L68" s="6"/>
    </row>
    <row r="69" spans="1:15">
      <c r="A69" s="6"/>
      <c r="B69" s="6"/>
      <c r="C69" s="6"/>
      <c r="F69" s="6"/>
      <c r="G69" s="6"/>
      <c r="H69" s="6"/>
      <c r="I69" s="6"/>
      <c r="J69" s="6"/>
      <c r="K69" s="6"/>
      <c r="L69" s="6"/>
    </row>
    <row r="70" spans="1:15">
      <c r="A70" s="6"/>
      <c r="B70" s="6"/>
      <c r="C70" s="6"/>
      <c r="F70" s="6"/>
      <c r="G70" s="6"/>
      <c r="H70" s="6"/>
      <c r="I70" s="6"/>
      <c r="J70" s="6"/>
      <c r="K70" s="6"/>
      <c r="L70" s="6"/>
    </row>
    <row r="71" spans="1:15">
      <c r="A71" s="6"/>
      <c r="B71" s="6"/>
      <c r="C71" s="6"/>
      <c r="F71" s="6"/>
      <c r="G71" s="6"/>
      <c r="H71" s="6"/>
      <c r="I71" s="6"/>
      <c r="J71" s="6"/>
      <c r="K71" s="6"/>
      <c r="L71" s="6"/>
    </row>
    <row r="72" spans="1:15">
      <c r="A72" s="6"/>
      <c r="B72" s="6"/>
      <c r="C72" s="6"/>
      <c r="F72" s="6"/>
      <c r="G72" s="6"/>
      <c r="H72" s="6"/>
      <c r="I72" s="6"/>
      <c r="J72" s="6"/>
      <c r="K72" s="6"/>
      <c r="L72" s="6"/>
    </row>
    <row r="73" spans="1:15">
      <c r="A73" s="6"/>
      <c r="B73" s="6"/>
      <c r="C73" s="6"/>
      <c r="F73" s="6"/>
      <c r="G73" s="6"/>
      <c r="H73" s="6"/>
      <c r="I73" s="6"/>
      <c r="J73" s="6"/>
      <c r="K73" s="6"/>
      <c r="L73" s="6"/>
    </row>
    <row r="74" spans="1:15" ht="13.15">
      <c r="A74" s="1"/>
      <c r="B74" s="6"/>
      <c r="C74" s="6"/>
      <c r="D74" s="7"/>
      <c r="F74" s="6"/>
      <c r="G74" s="6"/>
      <c r="H74" s="6"/>
      <c r="I74" s="6"/>
      <c r="J74" s="6"/>
      <c r="K74" s="6"/>
      <c r="L74" s="6"/>
    </row>
    <row r="75" spans="1:15" ht="13.15">
      <c r="A75" s="1"/>
      <c r="B75" s="1"/>
      <c r="C75" s="8"/>
      <c r="D75" s="9"/>
      <c r="E75" s="1"/>
      <c r="F75" s="1"/>
      <c r="G75" s="6"/>
      <c r="H75" s="6"/>
      <c r="I75" s="6"/>
      <c r="J75" s="6"/>
      <c r="K75" s="6"/>
      <c r="L75" s="6"/>
    </row>
    <row r="76" spans="1:15" ht="13.15">
      <c r="A76" s="1"/>
      <c r="B76" s="1"/>
      <c r="C76" s="1"/>
      <c r="D76" s="1"/>
      <c r="E76" s="1"/>
      <c r="F76" s="1"/>
      <c r="G76" s="1"/>
      <c r="H76" s="1"/>
      <c r="I76" s="1"/>
      <c r="J76" s="29"/>
      <c r="K76" s="29"/>
      <c r="L76" s="29"/>
      <c r="M76" s="30"/>
      <c r="N76" s="30"/>
      <c r="O76" s="30"/>
    </row>
    <row r="77" spans="1:15" ht="13.15">
      <c r="A77" s="1"/>
      <c r="B77" s="1"/>
      <c r="C77" s="1"/>
      <c r="D77" s="1"/>
      <c r="E77" s="1"/>
      <c r="F77" s="1"/>
      <c r="G77" s="1"/>
      <c r="H77" s="1"/>
      <c r="I77" s="1"/>
      <c r="J77" s="29"/>
      <c r="K77" s="29"/>
      <c r="L77" s="29"/>
      <c r="M77" s="30"/>
      <c r="N77" s="30"/>
      <c r="O77" s="30"/>
    </row>
    <row r="78" spans="1:15" ht="13.15">
      <c r="A78" s="1"/>
      <c r="B78" s="1"/>
      <c r="C78" s="1"/>
      <c r="D78" s="1"/>
      <c r="E78" s="1"/>
      <c r="F78" s="1"/>
      <c r="G78" s="1"/>
      <c r="H78" s="1"/>
      <c r="I78" s="1"/>
      <c r="J78" s="29"/>
      <c r="K78" s="29"/>
      <c r="L78" s="29"/>
      <c r="M78" s="30"/>
      <c r="N78" s="30"/>
      <c r="O78" s="30"/>
    </row>
    <row r="79" spans="1:15" ht="13.15">
      <c r="A79" s="1"/>
      <c r="B79" s="1"/>
      <c r="C79" s="1"/>
      <c r="D79" s="1"/>
      <c r="E79" s="1"/>
      <c r="F79" s="1"/>
      <c r="G79" s="1"/>
      <c r="H79" s="1"/>
      <c r="I79" s="1"/>
      <c r="J79" s="29"/>
      <c r="K79" s="29"/>
      <c r="L79" s="29"/>
      <c r="M79" s="30"/>
      <c r="N79" s="30"/>
      <c r="O79" s="30"/>
    </row>
    <row r="80" spans="1:15" ht="13.15">
      <c r="A80" s="1"/>
      <c r="B80" s="1"/>
      <c r="C80" s="1"/>
      <c r="D80" s="1"/>
      <c r="E80" s="1"/>
      <c r="F80" s="1"/>
      <c r="G80" s="1"/>
      <c r="H80" s="1"/>
      <c r="I80" s="1"/>
      <c r="J80" s="29"/>
      <c r="K80" s="29"/>
      <c r="L80" s="29"/>
      <c r="M80" s="30"/>
      <c r="N80" s="30"/>
      <c r="O80" s="30"/>
    </row>
    <row r="81" spans="1:15" ht="13.15">
      <c r="A81" s="1"/>
      <c r="B81" s="1"/>
      <c r="C81" s="1"/>
      <c r="D81" s="1"/>
      <c r="E81" s="1"/>
      <c r="F81" s="1"/>
      <c r="G81" s="1"/>
      <c r="H81" s="1"/>
      <c r="I81" s="1"/>
      <c r="J81" s="29"/>
      <c r="K81" s="29"/>
      <c r="L81" s="29"/>
      <c r="M81" s="30"/>
      <c r="N81" s="30"/>
      <c r="O81" s="30"/>
    </row>
    <row r="82" spans="1:15" ht="13.15">
      <c r="A82" s="1"/>
      <c r="B82" s="1"/>
      <c r="C82" s="1"/>
      <c r="D82" s="1"/>
      <c r="E82" s="1"/>
      <c r="F82" s="1"/>
      <c r="G82" s="1"/>
      <c r="H82" s="1"/>
      <c r="I82" s="1"/>
      <c r="J82" s="29"/>
      <c r="K82" s="29"/>
      <c r="L82" s="29"/>
      <c r="M82" s="30"/>
      <c r="N82" s="30"/>
      <c r="O82" s="30"/>
    </row>
    <row r="83" spans="1:15" ht="13.15">
      <c r="A83" s="1"/>
      <c r="B83" s="1"/>
      <c r="C83" s="1"/>
      <c r="D83" s="1"/>
      <c r="E83" s="1"/>
      <c r="F83" s="1"/>
      <c r="G83" s="1"/>
      <c r="H83" s="1"/>
      <c r="I83" s="1"/>
      <c r="J83" s="29"/>
      <c r="K83" s="29"/>
      <c r="L83" s="29"/>
      <c r="M83" s="30"/>
      <c r="N83" s="30"/>
      <c r="O83" s="30"/>
    </row>
    <row r="84" spans="1:15" ht="13.15">
      <c r="A84" s="1"/>
      <c r="B84" s="1"/>
      <c r="C84" s="1"/>
      <c r="D84" s="1"/>
      <c r="E84" s="1"/>
      <c r="F84" s="1"/>
      <c r="G84" s="1"/>
      <c r="H84" s="1"/>
      <c r="I84" s="1"/>
      <c r="J84" s="29"/>
      <c r="K84" s="29"/>
      <c r="L84" s="29"/>
      <c r="M84" s="30"/>
      <c r="N84" s="30"/>
      <c r="O84" s="30"/>
    </row>
    <row r="85" spans="1:15" ht="13.15">
      <c r="A85" s="27"/>
      <c r="B85" s="1"/>
      <c r="C85" s="1"/>
      <c r="D85" s="1"/>
      <c r="E85" s="1"/>
      <c r="F85" s="1"/>
      <c r="G85" s="1"/>
      <c r="H85" s="1"/>
      <c r="I85" s="1"/>
      <c r="J85" s="29"/>
      <c r="K85" s="29"/>
      <c r="L85" s="29"/>
      <c r="M85" s="30"/>
      <c r="N85" s="30"/>
      <c r="O85" s="30"/>
    </row>
    <row r="86" spans="1:15" ht="13.15">
      <c r="A86" s="1"/>
      <c r="B86" s="26"/>
      <c r="C86" s="27"/>
      <c r="D86" s="27"/>
      <c r="E86" s="27"/>
      <c r="F86" s="27"/>
    </row>
    <row r="87" spans="1:15">
      <c r="A87" s="22"/>
    </row>
    <row r="88" spans="1:15">
      <c r="A88" s="25"/>
      <c r="B88" s="23"/>
    </row>
    <row r="89" spans="1:15">
      <c r="A89" s="25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89"/>
      <c r="M89" s="289"/>
    </row>
    <row r="90" spans="1:15">
      <c r="A90" s="25"/>
      <c r="B90" s="289"/>
      <c r="C90" s="289"/>
      <c r="D90" s="289"/>
      <c r="E90" s="289"/>
      <c r="F90" s="289"/>
      <c r="G90" s="289"/>
      <c r="H90" s="289"/>
      <c r="I90" s="289"/>
      <c r="J90" s="289"/>
      <c r="K90" s="289"/>
      <c r="L90" s="289"/>
      <c r="M90" s="289"/>
      <c r="N90" s="31"/>
    </row>
    <row r="91" spans="1:15">
      <c r="A91" s="25"/>
      <c r="B91" s="26"/>
      <c r="C91" s="27"/>
      <c r="D91" s="27"/>
      <c r="E91" s="27"/>
      <c r="F91" s="27"/>
      <c r="N91" s="31"/>
    </row>
    <row r="92" spans="1:15">
      <c r="A92" s="25"/>
      <c r="B92" s="26"/>
      <c r="C92" s="27"/>
      <c r="D92" s="27"/>
      <c r="E92" s="27"/>
      <c r="F92" s="27"/>
      <c r="N92" s="31"/>
    </row>
    <row r="93" spans="1:15">
      <c r="A93" s="25"/>
      <c r="B93" s="26"/>
      <c r="C93" s="27"/>
      <c r="D93" s="27"/>
      <c r="E93" s="27"/>
      <c r="F93" s="27"/>
      <c r="N93" s="31"/>
    </row>
    <row r="94" spans="1:15">
      <c r="A94" s="25"/>
      <c r="B94" s="26"/>
      <c r="C94" s="27"/>
      <c r="D94" s="27"/>
      <c r="E94" s="27"/>
      <c r="F94" s="27"/>
      <c r="N94" s="31"/>
    </row>
    <row r="95" spans="1:15">
      <c r="A95" s="25"/>
      <c r="B95" s="26"/>
      <c r="C95" s="27"/>
      <c r="D95" s="27"/>
      <c r="E95" s="27"/>
      <c r="F95" s="27"/>
      <c r="N95" s="31"/>
    </row>
    <row r="96" spans="1:15">
      <c r="A96" s="25"/>
      <c r="B96" s="26"/>
      <c r="C96" s="27"/>
      <c r="D96" s="27"/>
      <c r="E96" s="27"/>
      <c r="F96" s="27"/>
      <c r="N96" s="31"/>
    </row>
    <row r="97" spans="1:14">
      <c r="A97" s="25"/>
      <c r="B97" s="26"/>
      <c r="C97" s="27"/>
      <c r="D97" s="27"/>
      <c r="E97" s="27"/>
      <c r="F97" s="27"/>
      <c r="N97" s="31"/>
    </row>
    <row r="98" spans="1:14">
      <c r="A98" s="25"/>
      <c r="B98" s="26"/>
      <c r="C98" s="27"/>
      <c r="D98" s="27"/>
      <c r="E98" s="27"/>
      <c r="F98" s="27"/>
      <c r="N98" s="31"/>
    </row>
    <row r="99" spans="1:14">
      <c r="A99" s="25"/>
      <c r="B99" s="26"/>
      <c r="C99" s="27"/>
      <c r="D99" s="27"/>
      <c r="E99" s="27"/>
      <c r="F99" s="27"/>
      <c r="N99" s="31"/>
    </row>
    <row r="100" spans="1:14">
      <c r="A100" s="25"/>
      <c r="B100" s="26"/>
      <c r="C100" s="27"/>
      <c r="D100" s="27"/>
      <c r="E100" s="27"/>
      <c r="F100" s="27"/>
      <c r="N100" s="31"/>
    </row>
    <row r="101" spans="1:14">
      <c r="A101" s="25"/>
      <c r="B101" s="26"/>
      <c r="C101" s="27"/>
      <c r="D101" s="27"/>
      <c r="E101" s="27"/>
      <c r="F101" s="27"/>
      <c r="N101" s="31"/>
    </row>
    <row r="102" spans="1:14">
      <c r="A102" s="25"/>
      <c r="B102" s="26"/>
      <c r="C102" s="27"/>
      <c r="D102" s="27"/>
      <c r="E102" s="27"/>
      <c r="F102" s="27"/>
      <c r="N102" s="31"/>
    </row>
    <row r="103" spans="1:14">
      <c r="A103" s="25"/>
      <c r="B103" s="26"/>
      <c r="C103" s="27"/>
      <c r="D103" s="27"/>
      <c r="E103" s="27"/>
      <c r="F103" s="27"/>
      <c r="N103" s="31"/>
    </row>
    <row r="104" spans="1:14">
      <c r="A104" s="23"/>
      <c r="B104" s="26"/>
      <c r="C104" s="27"/>
      <c r="D104" s="27"/>
      <c r="E104" s="27"/>
      <c r="F104" s="27"/>
      <c r="N104" s="31"/>
    </row>
    <row r="105" spans="1:14">
      <c r="A105" s="23"/>
      <c r="B105" s="28"/>
      <c r="N105" s="31"/>
    </row>
    <row r="106" spans="1:14">
      <c r="A106" s="23"/>
      <c r="B106" s="28"/>
    </row>
    <row r="107" spans="1:14">
      <c r="A107" s="23"/>
      <c r="B107" s="28"/>
    </row>
    <row r="108" spans="1:14">
      <c r="B108" s="23"/>
    </row>
  </sheetData>
  <mergeCells count="4">
    <mergeCell ref="B36:M36"/>
    <mergeCell ref="B89:M89"/>
    <mergeCell ref="B90:M90"/>
    <mergeCell ref="B35:M35"/>
  </mergeCells>
  <pageMargins left="0.5" right="0.5" top="1" bottom="1" header="0.5" footer="0.5"/>
  <pageSetup orientation="landscape" r:id="rId1"/>
  <headerFooter alignWithMargins="0"/>
  <rowBreaks count="1" manualBreakCount="1">
    <brk id="60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48</vt:i4>
      </vt:variant>
    </vt:vector>
  </HeadingPairs>
  <TitlesOfParts>
    <vt:vector size="81" baseType="lpstr">
      <vt:lpstr>Sept 9, 2007</vt:lpstr>
      <vt:lpstr>January 1, 2008</vt:lpstr>
      <vt:lpstr>October 26, 2008</vt:lpstr>
      <vt:lpstr>December 31, 2008</vt:lpstr>
      <vt:lpstr>January 1, 2010</vt:lpstr>
      <vt:lpstr>January 1, 2011</vt:lpstr>
      <vt:lpstr>January 1, 2012</vt:lpstr>
      <vt:lpstr>January 1, 2013</vt:lpstr>
      <vt:lpstr>January 1, 2014</vt:lpstr>
      <vt:lpstr>January 1, 2015</vt:lpstr>
      <vt:lpstr>January 1, 2016</vt:lpstr>
      <vt:lpstr>January 1, 2017</vt:lpstr>
      <vt:lpstr>January 1, 2018</vt:lpstr>
      <vt:lpstr>Sheet2</vt:lpstr>
      <vt:lpstr>Sheet3</vt:lpstr>
      <vt:lpstr>sheet1</vt:lpstr>
      <vt:lpstr>July 1, 2018 </vt:lpstr>
      <vt:lpstr>January 1, 2019</vt:lpstr>
      <vt:lpstr>Corrections</vt:lpstr>
      <vt:lpstr>April 1, 2019</vt:lpstr>
      <vt:lpstr>January 1, 2020</vt:lpstr>
      <vt:lpstr>July 1, 2020</vt:lpstr>
      <vt:lpstr>January 1, 2021</vt:lpstr>
      <vt:lpstr>July 1, 2021</vt:lpstr>
      <vt:lpstr>January 1, 2022</vt:lpstr>
      <vt:lpstr>January 1, 2023</vt:lpstr>
      <vt:lpstr>January 1, 2024</vt:lpstr>
      <vt:lpstr>January 1, 2025</vt:lpstr>
      <vt:lpstr>January 1, 2026</vt:lpstr>
      <vt:lpstr>January 1, 2027</vt:lpstr>
      <vt:lpstr>January 1, 2028</vt:lpstr>
      <vt:lpstr>Notes</vt:lpstr>
      <vt:lpstr>Long+Selection breakdown</vt:lpstr>
      <vt:lpstr>Data2021</vt:lpstr>
      <vt:lpstr>Data2022</vt:lpstr>
      <vt:lpstr>Data2023</vt:lpstr>
      <vt:lpstr>Data2024</vt:lpstr>
      <vt:lpstr>Data2025</vt:lpstr>
      <vt:lpstr>Data2026</vt:lpstr>
      <vt:lpstr>Data2027</vt:lpstr>
      <vt:lpstr>'January 1, 2028'!IncreasePerc2027</vt:lpstr>
      <vt:lpstr>IncreasePerc2027</vt:lpstr>
      <vt:lpstr>IncreasePerc2028</vt:lpstr>
      <vt:lpstr>IncrPerc2022</vt:lpstr>
      <vt:lpstr>'January 1, 2023'!IncrPerc2023</vt:lpstr>
      <vt:lpstr>IncrPerc2024</vt:lpstr>
      <vt:lpstr>'January 1, 2026'!IncrPerc2025</vt:lpstr>
      <vt:lpstr>'January 1, 2027'!IncrPerc2025</vt:lpstr>
      <vt:lpstr>'January 1, 2028'!IncrPerc2025</vt:lpstr>
      <vt:lpstr>IncrPerc2025</vt:lpstr>
      <vt:lpstr>'January 1, 2027'!IncrPerc2026</vt:lpstr>
      <vt:lpstr>'January 1, 2028'!IncrPerc2026</vt:lpstr>
      <vt:lpstr>IncrPerc2026</vt:lpstr>
      <vt:lpstr>Jan2021Rates</vt:lpstr>
      <vt:lpstr>PercIncrJuly2021</vt:lpstr>
      <vt:lpstr>'December 31, 2008'!Print_Area</vt:lpstr>
      <vt:lpstr>'January 1, 2008'!Print_Area</vt:lpstr>
      <vt:lpstr>'January 1, 2010'!Print_Area</vt:lpstr>
      <vt:lpstr>'January 1, 2011'!Print_Area</vt:lpstr>
      <vt:lpstr>'January 1, 2012'!Print_Area</vt:lpstr>
      <vt:lpstr>'January 1, 2013'!Print_Area</vt:lpstr>
      <vt:lpstr>'January 1, 2014'!Print_Area</vt:lpstr>
      <vt:lpstr>'January 1, 2015'!Print_Area</vt:lpstr>
      <vt:lpstr>'January 1, 2016'!Print_Area</vt:lpstr>
      <vt:lpstr>'January 1, 2017'!Print_Area</vt:lpstr>
      <vt:lpstr>'January 1, 2018'!Print_Area</vt:lpstr>
      <vt:lpstr>'January 1, 2019'!Print_Area</vt:lpstr>
      <vt:lpstr>'January 1, 2020'!Print_Area</vt:lpstr>
      <vt:lpstr>'January 1, 2021'!Print_Area</vt:lpstr>
      <vt:lpstr>'January 1, 2022'!Print_Area</vt:lpstr>
      <vt:lpstr>'January 1, 2023'!Print_Area</vt:lpstr>
      <vt:lpstr>'January 1, 2024'!Print_Area</vt:lpstr>
      <vt:lpstr>'January 1, 2025'!Print_Area</vt:lpstr>
      <vt:lpstr>'January 1, 2026'!Print_Area</vt:lpstr>
      <vt:lpstr>'January 1, 2027'!Print_Area</vt:lpstr>
      <vt:lpstr>'January 1, 2028'!Print_Area</vt:lpstr>
      <vt:lpstr>'July 1, 2018 '!Print_Area</vt:lpstr>
      <vt:lpstr>'July 1, 2020'!Print_Area</vt:lpstr>
      <vt:lpstr>'July 1, 2021'!Print_Area</vt:lpstr>
      <vt:lpstr>'October 26, 2008'!Print_Area</vt:lpstr>
      <vt:lpstr>'Sept 9, 2007'!Print_Area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International Association of Firefighters CFF Salary Schedule. From 2023-2025. Posted 12-29-2023</dc:title>
  <dc:creator>City of Minneapolis Human Resources, Classification and Compensation;Howatt, Erick S</dc:creator>
  <cp:lastModifiedBy>Courage, Bradford</cp:lastModifiedBy>
  <cp:lastPrinted>2024-12-13T18:02:47Z</cp:lastPrinted>
  <dcterms:created xsi:type="dcterms:W3CDTF">2008-01-09T19:36:17Z</dcterms:created>
  <dcterms:modified xsi:type="dcterms:W3CDTF">2026-09-03T22:28:31Z</dcterms:modified>
</cp:coreProperties>
</file>