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M:\Human Resources\LABOR\1 (CEQ) 49 IUOE\Salary Schedules\"/>
    </mc:Choice>
  </mc:AlternateContent>
  <xr:revisionPtr revIDLastSave="0" documentId="13_ncr:1_{B5432879-BD4D-4204-8249-D11FB640D619}" xr6:coauthVersionLast="47" xr6:coauthVersionMax="47" xr10:uidLastSave="{00000000-0000-0000-0000-000000000000}"/>
  <workbookProtection lockStructure="1"/>
  <bookViews>
    <workbookView xWindow="-120" yWindow="-120" windowWidth="29040" windowHeight="15720" firstSheet="10" activeTab="14" xr2:uid="{00000000-000D-0000-FFFF-FFFF00000000}"/>
  </bookViews>
  <sheets>
    <sheet name="01 01 2017" sheetId="1" state="hidden" r:id="rId1"/>
    <sheet name="01 01 2018" sheetId="2" state="hidden" r:id="rId2"/>
    <sheet name="10 14 2018" sheetId="3" state="hidden" r:id="rId3"/>
    <sheet name="5 12 2019 - removed 6-4-19" sheetId="6" state="hidden" r:id="rId4"/>
    <sheet name="1 1 2019" sheetId="4" state="hidden" r:id="rId5"/>
    <sheet name="5 12 2019" sheetId="7" state="hidden" r:id="rId6"/>
    <sheet name="1 1 2020" sheetId="5" state="hidden" r:id="rId7"/>
    <sheet name="1 1 2020 " sheetId="8" state="hidden" r:id="rId8"/>
    <sheet name="1-1-2021" sheetId="10" state="hidden" r:id="rId9"/>
    <sheet name="1-1-2022" sheetId="12" state="hidden" r:id="rId10"/>
    <sheet name="1-1-2023" sheetId="13" r:id="rId11"/>
    <sheet name="1-1-2024" sheetId="18" r:id="rId12"/>
    <sheet name="7-1-2024" sheetId="14" r:id="rId13"/>
    <sheet name="1-1-2025" sheetId="16" r:id="rId14"/>
    <sheet name="1-1-2026" sheetId="17" r:id="rId15"/>
    <sheet name="Notes" sheetId="9" state="hidden" r:id="rId16"/>
  </sheets>
  <definedNames>
    <definedName name="A">#N/A</definedName>
    <definedName name="B">#N/A</definedName>
    <definedName name="C_">#N/A</definedName>
    <definedName name="Data2020" localSheetId="11">#REF!</definedName>
    <definedName name="Data2020">'1 1 2020 '!$N$4:$T$154</definedName>
    <definedName name="Data2021" localSheetId="11">#REF!</definedName>
    <definedName name="Data2021">'1-1-2021'!$O$5:$U$156</definedName>
    <definedName name="Data2022" localSheetId="11">#REF!</definedName>
    <definedName name="Data2022">'1-1-2022'!$O$5:$U$157</definedName>
    <definedName name="Data2023">'1-1-2023'!$O$5:$U$155</definedName>
    <definedName name="Data2024" localSheetId="11">'1-1-2024'!$O$7:$U$156</definedName>
    <definedName name="Data2024">'7-1-2024'!$O$7:$U$158</definedName>
    <definedName name="Data2025">'1-1-2025'!$O$7:$U$158</definedName>
    <definedName name="Pension2020" localSheetId="11">#REF!</definedName>
    <definedName name="Pension2020">'1 1 2020 '!$P$29</definedName>
    <definedName name="Pension2021" localSheetId="11">#REF!</definedName>
    <definedName name="Pension2021">'1-1-2021'!$Q$29</definedName>
    <definedName name="Pension2022" localSheetId="11">#REF!</definedName>
    <definedName name="Pension2022">'1-1-2022'!$Q$29</definedName>
    <definedName name="Pension2023">'1-1-2023'!$Q$29</definedName>
    <definedName name="Pension2024" localSheetId="11">'1-1-2024'!$Q$29</definedName>
    <definedName name="Pension2024">'7-1-2024'!$Q$31</definedName>
    <definedName name="PercIncr2021" localSheetId="11">#REF!</definedName>
    <definedName name="PercIncr2021">'1-1-2021'!$O$1</definedName>
    <definedName name="PercIncr2022" localSheetId="11">#REF!</definedName>
    <definedName name="PercIncr2022">'1-1-2022'!$O$1</definedName>
    <definedName name="PercIncr2023">'1-1-2023'!$O$1</definedName>
    <definedName name="PercIncr2024" localSheetId="11">'1-1-2024'!$O$2</definedName>
    <definedName name="PercIncr2024">'7-1-2024'!$O$2</definedName>
    <definedName name="PercIncr2025">'1-1-2025'!$O$2</definedName>
    <definedName name="PercIncr2026">'1-1-2026'!$O$2</definedName>
    <definedName name="_xlnm.Print_Area" localSheetId="0">'01 01 2017'!$A$1:$J$189</definedName>
    <definedName name="_xlnm.Print_Area" localSheetId="1">'01 01 2018'!$A$1:$J$186</definedName>
    <definedName name="_xlnm.Print_Area" localSheetId="4">'1 1 2019'!$A$1:$J$180</definedName>
    <definedName name="_xlnm.Print_Area" localSheetId="6">'1 1 2020'!$A$1:$J$175</definedName>
    <definedName name="_xlnm.Print_Area" localSheetId="7">'1 1 2020 '!$A$1:$J$153</definedName>
    <definedName name="_xlnm.Print_Area" localSheetId="2">'10 14 2018'!$A$1:$J$176</definedName>
    <definedName name="_xlnm.Print_Area" localSheetId="5">'5 12 2019'!$A$1:$I$179</definedName>
    <definedName name="_xlnm.Print_Area" localSheetId="3">'5 12 2019 - removed 6-4-19'!$A$1:$J$178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90" i="14" l="1"/>
  <c r="B89" i="14"/>
  <c r="B88" i="18"/>
  <c r="B87" i="18"/>
  <c r="Z14" i="17"/>
  <c r="AA14" i="17"/>
  <c r="AB14" i="17"/>
  <c r="AC14" i="17"/>
  <c r="W26" i="17"/>
  <c r="R20" i="16"/>
  <c r="R21" i="16" s="1"/>
  <c r="S20" i="16"/>
  <c r="S21" i="16" s="1"/>
  <c r="T20" i="16"/>
  <c r="T21" i="16" s="1"/>
  <c r="U20" i="16"/>
  <c r="U21" i="16" s="1"/>
  <c r="Q20" i="16"/>
  <c r="Q21" i="16" s="1"/>
  <c r="H15" i="16"/>
  <c r="Z15" i="16" l="1"/>
  <c r="Y147" i="14"/>
  <c r="Y148" i="14"/>
  <c r="Y149" i="14"/>
  <c r="Y146" i="14"/>
  <c r="Y158" i="17"/>
  <c r="W158" i="17"/>
  <c r="Y155" i="17"/>
  <c r="W155" i="17"/>
  <c r="Y154" i="17"/>
  <c r="W154" i="17"/>
  <c r="U21" i="14"/>
  <c r="Z158" i="16"/>
  <c r="Y158" i="16"/>
  <c r="W158" i="16"/>
  <c r="Z160" i="14"/>
  <c r="Y160" i="14"/>
  <c r="W160" i="14"/>
  <c r="Z155" i="16"/>
  <c r="Z154" i="16"/>
  <c r="Z157" i="14"/>
  <c r="AG157" i="14" s="1"/>
  <c r="Z156" i="14"/>
  <c r="AG156" i="14" s="1"/>
  <c r="AG95" i="14"/>
  <c r="AG94" i="14"/>
  <c r="AG93" i="14"/>
  <c r="AG160" i="14" l="1"/>
  <c r="AP28" i="14"/>
  <c r="AO28" i="14"/>
  <c r="AP9" i="14"/>
  <c r="AP10" i="14"/>
  <c r="AP11" i="14"/>
  <c r="AP12" i="14"/>
  <c r="AP13" i="14"/>
  <c r="AP14" i="14"/>
  <c r="AP8" i="14"/>
  <c r="Y151" i="18"/>
  <c r="W151" i="18"/>
  <c r="Y147" i="18"/>
  <c r="W147" i="18"/>
  <c r="Y146" i="18"/>
  <c r="W146" i="18"/>
  <c r="Y145" i="18"/>
  <c r="W145" i="18"/>
  <c r="Y144" i="18"/>
  <c r="W144" i="18"/>
  <c r="Y138" i="18"/>
  <c r="W138" i="18"/>
  <c r="Y137" i="18"/>
  <c r="W137" i="18"/>
  <c r="Y136" i="18"/>
  <c r="W136" i="18"/>
  <c r="Y119" i="18"/>
  <c r="W119" i="18"/>
  <c r="Y114" i="18"/>
  <c r="W114" i="18"/>
  <c r="Z88" i="18"/>
  <c r="Y88" i="18"/>
  <c r="W88" i="18"/>
  <c r="Z87" i="18"/>
  <c r="Y87" i="18"/>
  <c r="W87" i="18"/>
  <c r="Z86" i="18"/>
  <c r="Y86" i="18"/>
  <c r="W86" i="18"/>
  <c r="B86" i="18"/>
  <c r="Y78" i="18"/>
  <c r="W78" i="18"/>
  <c r="Q78" i="18"/>
  <c r="Z78" i="18" s="1"/>
  <c r="Y77" i="18"/>
  <c r="W77" i="18"/>
  <c r="Q77" i="18"/>
  <c r="Z77" i="18" s="1"/>
  <c r="Y76" i="18"/>
  <c r="W76" i="18"/>
  <c r="Q76" i="18"/>
  <c r="Z76" i="18" s="1"/>
  <c r="Y75" i="18"/>
  <c r="W75" i="18"/>
  <c r="Y67" i="18"/>
  <c r="W67" i="18"/>
  <c r="Y65" i="18"/>
  <c r="W65" i="18"/>
  <c r="Y63" i="18"/>
  <c r="W63" i="18"/>
  <c r="Y58" i="18"/>
  <c r="W58" i="18"/>
  <c r="Y57" i="18"/>
  <c r="W57" i="18"/>
  <c r="Y56" i="18"/>
  <c r="W56" i="18"/>
  <c r="Y47" i="18"/>
  <c r="W47" i="18"/>
  <c r="Y42" i="18"/>
  <c r="W42" i="18"/>
  <c r="Y38" i="18"/>
  <c r="W38" i="18"/>
  <c r="Y35" i="18"/>
  <c r="W35" i="18"/>
  <c r="AA29" i="18"/>
  <c r="Z29" i="18"/>
  <c r="W29" i="18"/>
  <c r="A29" i="18"/>
  <c r="Y26" i="18"/>
  <c r="X26" i="18"/>
  <c r="P26" i="18"/>
  <c r="O26" i="18"/>
  <c r="W26" i="18" s="1"/>
  <c r="AD25" i="18"/>
  <c r="AC25" i="18"/>
  <c r="AB25" i="18"/>
  <c r="AA25" i="18"/>
  <c r="Z25" i="18"/>
  <c r="Y25" i="18"/>
  <c r="X25" i="18"/>
  <c r="W25" i="18"/>
  <c r="Y23" i="18"/>
  <c r="X23" i="18"/>
  <c r="P23" i="18"/>
  <c r="O23" i="18"/>
  <c r="W23" i="18" s="1"/>
  <c r="AD22" i="18"/>
  <c r="AC22" i="18"/>
  <c r="AB22" i="18"/>
  <c r="AA22" i="18"/>
  <c r="Z22" i="18"/>
  <c r="Y22" i="18"/>
  <c r="X22" i="18"/>
  <c r="W22" i="18"/>
  <c r="Y19" i="18"/>
  <c r="X19" i="18"/>
  <c r="W19" i="18"/>
  <c r="AA19" i="18"/>
  <c r="P19" i="18"/>
  <c r="O19" i="18"/>
  <c r="AD18" i="18"/>
  <c r="AC18" i="18"/>
  <c r="AB18" i="18"/>
  <c r="AA18" i="18"/>
  <c r="Z18" i="18"/>
  <c r="Y18" i="18"/>
  <c r="X18" i="18"/>
  <c r="W18" i="18"/>
  <c r="Y14" i="18"/>
  <c r="X14" i="18"/>
  <c r="P14" i="18"/>
  <c r="O14" i="18"/>
  <c r="W14" i="18" s="1"/>
  <c r="K14" i="18"/>
  <c r="J14" i="18"/>
  <c r="Y13" i="18"/>
  <c r="X13" i="18"/>
  <c r="P13" i="18"/>
  <c r="O13" i="18"/>
  <c r="Y12" i="18"/>
  <c r="X12" i="18"/>
  <c r="P12" i="18"/>
  <c r="O12" i="18"/>
  <c r="W12" i="18" s="1"/>
  <c r="Y11" i="18"/>
  <c r="X11" i="18"/>
  <c r="P11" i="18"/>
  <c r="O11" i="18"/>
  <c r="W11" i="18" s="1"/>
  <c r="Y10" i="18"/>
  <c r="X10" i="18"/>
  <c r="P10" i="18"/>
  <c r="O10" i="18"/>
  <c r="W10" i="18" s="1"/>
  <c r="Y9" i="18"/>
  <c r="X9" i="18"/>
  <c r="W9" i="18"/>
  <c r="P9" i="18"/>
  <c r="O9" i="18"/>
  <c r="Y8" i="18"/>
  <c r="X8" i="18"/>
  <c r="P8" i="18"/>
  <c r="O8" i="18"/>
  <c r="W8" i="18" s="1"/>
  <c r="Y7" i="18"/>
  <c r="X7" i="18"/>
  <c r="W7" i="18"/>
  <c r="R6" i="18"/>
  <c r="Z9" i="18" l="1"/>
  <c r="H14" i="18"/>
  <c r="W13" i="18"/>
  <c r="Z19" i="18"/>
  <c r="H19" i="18"/>
  <c r="I19" i="18"/>
  <c r="S6" i="18"/>
  <c r="I9" i="18" l="1"/>
  <c r="H9" i="18"/>
  <c r="Z14" i="18"/>
  <c r="R14" i="18"/>
  <c r="AA14" i="18" s="1"/>
  <c r="AB23" i="18"/>
  <c r="H26" i="18"/>
  <c r="Z26" i="18"/>
  <c r="I23" i="18"/>
  <c r="AA23" i="18"/>
  <c r="H23" i="18"/>
  <c r="Z23" i="18"/>
  <c r="AA9" i="18"/>
  <c r="I26" i="18"/>
  <c r="AA26" i="18"/>
  <c r="J26" i="18"/>
  <c r="AB26" i="18"/>
  <c r="T6" i="18"/>
  <c r="AB9" i="18" l="1"/>
  <c r="I14" i="18"/>
  <c r="J23" i="18"/>
  <c r="AB19" i="18"/>
  <c r="J19" i="18"/>
  <c r="U6" i="18"/>
  <c r="J9" i="18" l="1"/>
  <c r="K9" i="18"/>
  <c r="AC9" i="18"/>
  <c r="K19" i="18"/>
  <c r="AC19" i="18"/>
  <c r="AC23" i="18"/>
  <c r="K23" i="18"/>
  <c r="L23" i="18" l="1"/>
  <c r="AD23" i="18"/>
  <c r="L19" i="18"/>
  <c r="AD19" i="18"/>
  <c r="H19" i="16" l="1"/>
  <c r="A5" i="17" l="1"/>
  <c r="A5" i="16"/>
  <c r="T14" i="17"/>
  <c r="S14" i="17" s="1"/>
  <c r="R14" i="17" s="1"/>
  <c r="Q14" i="17" s="1"/>
  <c r="S14" i="14"/>
  <c r="R14" i="14" s="1"/>
  <c r="Q14" i="14" s="1"/>
  <c r="T14" i="16"/>
  <c r="S14" i="16" s="1"/>
  <c r="K14" i="14"/>
  <c r="J14" i="14" l="1"/>
  <c r="K14" i="16"/>
  <c r="AB14" i="14" l="1"/>
  <c r="A31" i="14" l="1"/>
  <c r="Y86" i="17"/>
  <c r="W86" i="17"/>
  <c r="Y85" i="17"/>
  <c r="W85" i="17"/>
  <c r="B88" i="14" l="1"/>
  <c r="W69" i="14"/>
  <c r="Y69" i="14"/>
  <c r="Z26" i="17"/>
  <c r="X26" i="17"/>
  <c r="W78" i="14"/>
  <c r="Y78" i="14"/>
  <c r="W79" i="14"/>
  <c r="Y79" i="14"/>
  <c r="W80" i="14"/>
  <c r="Y80" i="14"/>
  <c r="Z26" i="16"/>
  <c r="Y26" i="16"/>
  <c r="W26" i="16"/>
  <c r="AA31" i="14"/>
  <c r="Z31" i="14"/>
  <c r="W31" i="14"/>
  <c r="Y149" i="17"/>
  <c r="W149" i="17"/>
  <c r="W145" i="17"/>
  <c r="W144" i="17"/>
  <c r="W143" i="17"/>
  <c r="W142" i="17"/>
  <c r="Y136" i="17"/>
  <c r="W136" i="17"/>
  <c r="Y135" i="17"/>
  <c r="W135" i="17"/>
  <c r="Y134" i="17"/>
  <c r="W134" i="17"/>
  <c r="Y117" i="17"/>
  <c r="W117" i="17"/>
  <c r="Y112" i="17"/>
  <c r="W112" i="17"/>
  <c r="Y84" i="17"/>
  <c r="W84" i="17"/>
  <c r="Y55" i="17"/>
  <c r="W55" i="17"/>
  <c r="Y54" i="17"/>
  <c r="W54" i="17"/>
  <c r="Y53" i="17"/>
  <c r="W53" i="17"/>
  <c r="Y44" i="17"/>
  <c r="W44" i="17"/>
  <c r="Y39" i="17"/>
  <c r="W39" i="17"/>
  <c r="Y35" i="17"/>
  <c r="W35" i="17"/>
  <c r="Y32" i="17"/>
  <c r="W32" i="17"/>
  <c r="A26" i="17"/>
  <c r="Y23" i="17"/>
  <c r="X23" i="17"/>
  <c r="P23" i="17"/>
  <c r="O23" i="17"/>
  <c r="W23" i="17" s="1"/>
  <c r="AD22" i="17"/>
  <c r="AC22" i="17"/>
  <c r="AB22" i="17"/>
  <c r="AA22" i="17"/>
  <c r="Z22" i="17"/>
  <c r="Y22" i="17"/>
  <c r="X22" i="17"/>
  <c r="W22" i="17"/>
  <c r="Y19" i="17"/>
  <c r="X19" i="17"/>
  <c r="P19" i="17"/>
  <c r="O19" i="17"/>
  <c r="AD18" i="17"/>
  <c r="AC18" i="17"/>
  <c r="AB18" i="17"/>
  <c r="AA18" i="17"/>
  <c r="Z18" i="17"/>
  <c r="Y18" i="17"/>
  <c r="X18" i="17"/>
  <c r="W18" i="17"/>
  <c r="Y14" i="17"/>
  <c r="X14" i="17"/>
  <c r="P14" i="17"/>
  <c r="O14" i="17"/>
  <c r="W14" i="17" s="1"/>
  <c r="Y13" i="17"/>
  <c r="X13" i="17"/>
  <c r="P13" i="17"/>
  <c r="O13" i="17"/>
  <c r="W13" i="17" s="1"/>
  <c r="Y12" i="17"/>
  <c r="X12" i="17"/>
  <c r="P12" i="17"/>
  <c r="O12" i="17"/>
  <c r="W12" i="17" s="1"/>
  <c r="Y11" i="17"/>
  <c r="X11" i="17"/>
  <c r="P11" i="17"/>
  <c r="O11" i="17"/>
  <c r="W11" i="17" s="1"/>
  <c r="Y10" i="17"/>
  <c r="X10" i="17"/>
  <c r="P10" i="17"/>
  <c r="O10" i="17"/>
  <c r="W10" i="17" s="1"/>
  <c r="Y9" i="17"/>
  <c r="X9" i="17"/>
  <c r="P9" i="17"/>
  <c r="O9" i="17"/>
  <c r="W9" i="17" s="1"/>
  <c r="Y8" i="17"/>
  <c r="X8" i="17"/>
  <c r="P8" i="17"/>
  <c r="O8" i="17"/>
  <c r="W8" i="17" s="1"/>
  <c r="Y7" i="17"/>
  <c r="X7" i="17"/>
  <c r="W7" i="17"/>
  <c r="R6" i="17"/>
  <c r="S6" i="17" s="1"/>
  <c r="T6" i="17" s="1"/>
  <c r="U6" i="17" s="1"/>
  <c r="Y151" i="16"/>
  <c r="W151" i="16"/>
  <c r="W147" i="16"/>
  <c r="W146" i="16"/>
  <c r="W145" i="16"/>
  <c r="W144" i="16"/>
  <c r="Y138" i="16"/>
  <c r="W138" i="16"/>
  <c r="Y137" i="16"/>
  <c r="W137" i="16"/>
  <c r="Y136" i="16"/>
  <c r="W136" i="16"/>
  <c r="Y119" i="16"/>
  <c r="W119" i="16"/>
  <c r="Y114" i="16"/>
  <c r="W114" i="16"/>
  <c r="Y88" i="16"/>
  <c r="W88" i="16"/>
  <c r="Y87" i="16"/>
  <c r="W87" i="16"/>
  <c r="Y86" i="16"/>
  <c r="W86" i="16"/>
  <c r="Y56" i="16"/>
  <c r="W56" i="16"/>
  <c r="Y55" i="16"/>
  <c r="W55" i="16"/>
  <c r="Y54" i="16"/>
  <c r="W54" i="16"/>
  <c r="Y45" i="16"/>
  <c r="W45" i="16"/>
  <c r="Y40" i="16"/>
  <c r="W40" i="16"/>
  <c r="Y36" i="16"/>
  <c r="W36" i="16"/>
  <c r="Y33" i="16"/>
  <c r="W33" i="16"/>
  <c r="A26" i="16"/>
  <c r="Y23" i="16"/>
  <c r="X23" i="16"/>
  <c r="P23" i="16"/>
  <c r="O23" i="16"/>
  <c r="W23" i="16" s="1"/>
  <c r="AD22" i="16"/>
  <c r="AC22" i="16"/>
  <c r="AB22" i="16"/>
  <c r="AA22" i="16"/>
  <c r="Z22" i="16"/>
  <c r="Y22" i="16"/>
  <c r="X22" i="16"/>
  <c r="W22" i="16"/>
  <c r="Y19" i="16"/>
  <c r="X19" i="16"/>
  <c r="P19" i="16"/>
  <c r="O19" i="16"/>
  <c r="W19" i="16" s="1"/>
  <c r="AD18" i="16"/>
  <c r="AC18" i="16"/>
  <c r="AB18" i="16"/>
  <c r="AA18" i="16"/>
  <c r="Z18" i="16"/>
  <c r="Y18" i="16"/>
  <c r="X18" i="16"/>
  <c r="W18" i="16"/>
  <c r="Y14" i="16"/>
  <c r="X14" i="16"/>
  <c r="P14" i="16"/>
  <c r="O14" i="16"/>
  <c r="W14" i="16" s="1"/>
  <c r="Y13" i="16"/>
  <c r="X13" i="16"/>
  <c r="P13" i="16"/>
  <c r="O13" i="16"/>
  <c r="W13" i="16" s="1"/>
  <c r="Y12" i="16"/>
  <c r="X12" i="16"/>
  <c r="P12" i="16"/>
  <c r="O12" i="16"/>
  <c r="W12" i="16" s="1"/>
  <c r="Y11" i="16"/>
  <c r="X11" i="16"/>
  <c r="P11" i="16"/>
  <c r="O11" i="16"/>
  <c r="W11" i="16" s="1"/>
  <c r="Y10" i="16"/>
  <c r="X10" i="16"/>
  <c r="P10" i="16"/>
  <c r="O10" i="16"/>
  <c r="W10" i="16" s="1"/>
  <c r="Y9" i="16"/>
  <c r="X9" i="16"/>
  <c r="P9" i="16"/>
  <c r="O9" i="16"/>
  <c r="W9" i="16" s="1"/>
  <c r="Y8" i="16"/>
  <c r="X8" i="16"/>
  <c r="P8" i="16"/>
  <c r="O8" i="16"/>
  <c r="Y7" i="16"/>
  <c r="X7" i="16"/>
  <c r="W7" i="16"/>
  <c r="R6" i="16"/>
  <c r="S6" i="16" s="1"/>
  <c r="T6" i="16" s="1"/>
  <c r="Q154" i="17" a="1"/>
  <c r="Q158" i="17" a="1"/>
  <c r="Q155" i="17" a="1"/>
  <c r="Q158" i="17" l="1"/>
  <c r="Z158" i="17" s="1"/>
  <c r="Q155" i="17"/>
  <c r="Z155" i="17" s="1"/>
  <c r="Q154" i="17"/>
  <c r="Z154" i="17" s="1"/>
  <c r="W8" i="16"/>
  <c r="W19" i="17"/>
  <c r="U6" i="16"/>
  <c r="Y153" i="14" l="1"/>
  <c r="W153" i="14"/>
  <c r="W149" i="14"/>
  <c r="W148" i="14"/>
  <c r="W147" i="14"/>
  <c r="W146" i="14"/>
  <c r="Y140" i="14"/>
  <c r="W140" i="14"/>
  <c r="Y139" i="14"/>
  <c r="W139" i="14"/>
  <c r="Y138" i="14"/>
  <c r="W138" i="14"/>
  <c r="Y121" i="14"/>
  <c r="W121" i="14"/>
  <c r="Y116" i="14"/>
  <c r="W116" i="14"/>
  <c r="Y90" i="14"/>
  <c r="W90" i="14"/>
  <c r="Y89" i="14"/>
  <c r="W89" i="14"/>
  <c r="Y88" i="14"/>
  <c r="W88" i="14"/>
  <c r="Y77" i="14"/>
  <c r="W77" i="14"/>
  <c r="Y67" i="14"/>
  <c r="W67" i="14"/>
  <c r="Y65" i="14"/>
  <c r="W65" i="14"/>
  <c r="Y60" i="14"/>
  <c r="W60" i="14"/>
  <c r="Y59" i="14"/>
  <c r="W59" i="14"/>
  <c r="Y58" i="14"/>
  <c r="W58" i="14"/>
  <c r="Y49" i="14"/>
  <c r="W49" i="14"/>
  <c r="Y44" i="14"/>
  <c r="W44" i="14"/>
  <c r="Y40" i="14"/>
  <c r="W40" i="14"/>
  <c r="Y37" i="14"/>
  <c r="W37" i="14"/>
  <c r="Y28" i="14"/>
  <c r="X28" i="14"/>
  <c r="P28" i="14"/>
  <c r="O28" i="14"/>
  <c r="AD27" i="14"/>
  <c r="AC27" i="14"/>
  <c r="AB27" i="14"/>
  <c r="AA27" i="14"/>
  <c r="Z27" i="14"/>
  <c r="Y27" i="14"/>
  <c r="X27" i="14"/>
  <c r="W27" i="14"/>
  <c r="Y23" i="14"/>
  <c r="X23" i="14"/>
  <c r="P23" i="14"/>
  <c r="O23" i="14"/>
  <c r="AD22" i="14"/>
  <c r="AC22" i="14"/>
  <c r="AB22" i="14"/>
  <c r="AA22" i="14"/>
  <c r="Z22" i="14"/>
  <c r="Y22" i="14"/>
  <c r="X22" i="14"/>
  <c r="W22" i="14"/>
  <c r="Y19" i="14"/>
  <c r="X19" i="14"/>
  <c r="P19" i="14"/>
  <c r="O19" i="14"/>
  <c r="AD18" i="14"/>
  <c r="AC18" i="14"/>
  <c r="AB18" i="14"/>
  <c r="AA18" i="14"/>
  <c r="Z18" i="14"/>
  <c r="Y18" i="14"/>
  <c r="X18" i="14"/>
  <c r="W18" i="14"/>
  <c r="Y14" i="14"/>
  <c r="X14" i="14"/>
  <c r="P14" i="14"/>
  <c r="O14" i="14"/>
  <c r="Y13" i="14"/>
  <c r="X13" i="14"/>
  <c r="P13" i="14"/>
  <c r="O13" i="14"/>
  <c r="Y12" i="14"/>
  <c r="X12" i="14"/>
  <c r="P12" i="14"/>
  <c r="O12" i="14"/>
  <c r="Y11" i="14"/>
  <c r="X11" i="14"/>
  <c r="P11" i="14"/>
  <c r="O11" i="14"/>
  <c r="Y10" i="14"/>
  <c r="X10" i="14"/>
  <c r="P10" i="14"/>
  <c r="O10" i="14"/>
  <c r="Y9" i="14"/>
  <c r="X9" i="14"/>
  <c r="P9" i="14"/>
  <c r="O9" i="14"/>
  <c r="Y8" i="14"/>
  <c r="X8" i="14"/>
  <c r="P8" i="14"/>
  <c r="O8" i="14"/>
  <c r="Y7" i="14"/>
  <c r="X7" i="14"/>
  <c r="W7" i="14"/>
  <c r="R6" i="14"/>
  <c r="P71" i="8"/>
  <c r="W71" i="13"/>
  <c r="Y71" i="13"/>
  <c r="P8" i="8"/>
  <c r="Q86" i="16" a="1"/>
  <c r="Q93" i="16" a="1"/>
  <c r="Q91" i="16" a="1"/>
  <c r="Q91" i="16" l="1"/>
  <c r="Q93" i="16"/>
  <c r="Q86" i="16"/>
  <c r="W11" i="14"/>
  <c r="W13" i="14"/>
  <c r="W23" i="14"/>
  <c r="W28" i="14"/>
  <c r="W10" i="14"/>
  <c r="W8" i="14"/>
  <c r="W12" i="14"/>
  <c r="W19" i="14"/>
  <c r="W14" i="14"/>
  <c r="W9" i="14"/>
  <c r="S6" i="14"/>
  <c r="Q2" i="10"/>
  <c r="Q1" i="10" s="1"/>
  <c r="H9" i="4"/>
  <c r="Y152" i="10"/>
  <c r="W152" i="10"/>
  <c r="Y148" i="10"/>
  <c r="W148" i="10"/>
  <c r="Y147" i="10"/>
  <c r="W147" i="10"/>
  <c r="Y146" i="10"/>
  <c r="W146" i="10"/>
  <c r="Y145" i="10"/>
  <c r="W145" i="10"/>
  <c r="Y139" i="10"/>
  <c r="W139" i="10"/>
  <c r="Y138" i="10"/>
  <c r="W138" i="10"/>
  <c r="Y137" i="10"/>
  <c r="W137" i="10"/>
  <c r="Y120" i="10"/>
  <c r="W120" i="10"/>
  <c r="Y115" i="10"/>
  <c r="W115" i="10"/>
  <c r="Y90" i="10"/>
  <c r="W90" i="10"/>
  <c r="Y89" i="10"/>
  <c r="W89" i="10"/>
  <c r="Y88" i="10"/>
  <c r="W88" i="10"/>
  <c r="Y80" i="10"/>
  <c r="W80" i="10"/>
  <c r="Y79" i="10"/>
  <c r="W79" i="10"/>
  <c r="Y78" i="10"/>
  <c r="W78" i="10"/>
  <c r="Y75" i="10"/>
  <c r="W75" i="10"/>
  <c r="Y70" i="10"/>
  <c r="W70" i="10"/>
  <c r="Y67" i="10"/>
  <c r="W67" i="10"/>
  <c r="Y65" i="10"/>
  <c r="W65" i="10"/>
  <c r="Y60" i="10"/>
  <c r="W60" i="10"/>
  <c r="Y59" i="10"/>
  <c r="W59" i="10"/>
  <c r="Y58" i="10"/>
  <c r="W58" i="10"/>
  <c r="Y49" i="10"/>
  <c r="W49" i="10"/>
  <c r="Y44" i="10"/>
  <c r="W44" i="10"/>
  <c r="Y40" i="10"/>
  <c r="W40" i="10"/>
  <c r="Y37" i="10"/>
  <c r="W37" i="10"/>
  <c r="Y26" i="10"/>
  <c r="X26" i="10"/>
  <c r="W26" i="10"/>
  <c r="AD25" i="10"/>
  <c r="AC25" i="10"/>
  <c r="AB25" i="10"/>
  <c r="AA25" i="10"/>
  <c r="Z25" i="10"/>
  <c r="Y25" i="10"/>
  <c r="X25" i="10"/>
  <c r="W25" i="10"/>
  <c r="Y23" i="10"/>
  <c r="X23" i="10"/>
  <c r="W23" i="10"/>
  <c r="AD22" i="10"/>
  <c r="AC22" i="10"/>
  <c r="AB22" i="10"/>
  <c r="AA22" i="10"/>
  <c r="Z22" i="10"/>
  <c r="Y22" i="10"/>
  <c r="X22" i="10"/>
  <c r="W22" i="10"/>
  <c r="Y19" i="10"/>
  <c r="X19" i="10"/>
  <c r="W19" i="10"/>
  <c r="AD18" i="10"/>
  <c r="AC18" i="10"/>
  <c r="AB18" i="10"/>
  <c r="AA18" i="10"/>
  <c r="Z18" i="10"/>
  <c r="Y18" i="10"/>
  <c r="X18" i="10"/>
  <c r="W18" i="10"/>
  <c r="Y13" i="10"/>
  <c r="X13" i="10"/>
  <c r="W13" i="10"/>
  <c r="Y12" i="10"/>
  <c r="X12" i="10"/>
  <c r="W12" i="10"/>
  <c r="Y11" i="10"/>
  <c r="X11" i="10"/>
  <c r="W11" i="10"/>
  <c r="Y10" i="10"/>
  <c r="X10" i="10"/>
  <c r="W10" i="10"/>
  <c r="Y9" i="10"/>
  <c r="X9" i="10"/>
  <c r="W9" i="10"/>
  <c r="Y8" i="10"/>
  <c r="X8" i="10"/>
  <c r="W8" i="10"/>
  <c r="Y7" i="10"/>
  <c r="X7" i="10"/>
  <c r="W7" i="10"/>
  <c r="Y6" i="10"/>
  <c r="X6" i="10"/>
  <c r="W6" i="10"/>
  <c r="AA5" i="10"/>
  <c r="Z5" i="10"/>
  <c r="Y5" i="10"/>
  <c r="X5" i="10"/>
  <c r="W5" i="10"/>
  <c r="Y152" i="12"/>
  <c r="W152" i="12"/>
  <c r="Y148" i="12"/>
  <c r="W148" i="12"/>
  <c r="Y147" i="12"/>
  <c r="W147" i="12"/>
  <c r="Y146" i="12"/>
  <c r="W146" i="12"/>
  <c r="Y145" i="12"/>
  <c r="W145" i="12"/>
  <c r="Y139" i="12"/>
  <c r="W139" i="12"/>
  <c r="Y138" i="12"/>
  <c r="W138" i="12"/>
  <c r="Y137" i="12"/>
  <c r="W137" i="12"/>
  <c r="Y120" i="12"/>
  <c r="W120" i="12"/>
  <c r="Y115" i="12"/>
  <c r="W115" i="12"/>
  <c r="Y90" i="12"/>
  <c r="W90" i="12"/>
  <c r="Y89" i="12"/>
  <c r="W89" i="12"/>
  <c r="Y88" i="12"/>
  <c r="W88" i="12"/>
  <c r="Y80" i="12"/>
  <c r="W80" i="12"/>
  <c r="Y79" i="12"/>
  <c r="W79" i="12"/>
  <c r="Y78" i="12"/>
  <c r="W78" i="12"/>
  <c r="Y75" i="12"/>
  <c r="W75" i="12"/>
  <c r="Y70" i="12"/>
  <c r="W70" i="12"/>
  <c r="Y67" i="12"/>
  <c r="W67" i="12"/>
  <c r="Y65" i="12"/>
  <c r="W65" i="12"/>
  <c r="Y60" i="12"/>
  <c r="W60" i="12"/>
  <c r="Y59" i="12"/>
  <c r="W59" i="12"/>
  <c r="Y58" i="12"/>
  <c r="W58" i="12"/>
  <c r="Y49" i="12"/>
  <c r="W49" i="12"/>
  <c r="Y44" i="12"/>
  <c r="W44" i="12"/>
  <c r="Y40" i="12"/>
  <c r="W40" i="12"/>
  <c r="Y37" i="12"/>
  <c r="W37" i="12"/>
  <c r="Y26" i="12"/>
  <c r="X26" i="12"/>
  <c r="W26" i="12"/>
  <c r="AD25" i="12"/>
  <c r="AC25" i="12"/>
  <c r="AB25" i="12"/>
  <c r="AA25" i="12"/>
  <c r="Z25" i="12"/>
  <c r="Y25" i="12"/>
  <c r="X25" i="12"/>
  <c r="W25" i="12"/>
  <c r="Y23" i="12"/>
  <c r="X23" i="12"/>
  <c r="W23" i="12"/>
  <c r="AD22" i="12"/>
  <c r="AC22" i="12"/>
  <c r="AB22" i="12"/>
  <c r="AA22" i="12"/>
  <c r="Z22" i="12"/>
  <c r="Y22" i="12"/>
  <c r="X22" i="12"/>
  <c r="W22" i="12"/>
  <c r="Y19" i="12"/>
  <c r="X19" i="12"/>
  <c r="W19" i="12"/>
  <c r="AD18" i="12"/>
  <c r="AC18" i="12"/>
  <c r="AB18" i="12"/>
  <c r="AA18" i="12"/>
  <c r="Z18" i="12"/>
  <c r="Y18" i="12"/>
  <c r="X18" i="12"/>
  <c r="W18" i="12"/>
  <c r="Y13" i="12"/>
  <c r="X13" i="12"/>
  <c r="W13" i="12"/>
  <c r="Y12" i="12"/>
  <c r="X12" i="12"/>
  <c r="W12" i="12"/>
  <c r="Y11" i="12"/>
  <c r="X11" i="12"/>
  <c r="W11" i="12"/>
  <c r="Y10" i="12"/>
  <c r="X10" i="12"/>
  <c r="W10" i="12"/>
  <c r="Y9" i="12"/>
  <c r="X9" i="12"/>
  <c r="W9" i="12"/>
  <c r="Y8" i="12"/>
  <c r="X8" i="12"/>
  <c r="W8" i="12"/>
  <c r="Y7" i="12"/>
  <c r="X7" i="12"/>
  <c r="W7" i="12"/>
  <c r="Y6" i="12"/>
  <c r="X6" i="12"/>
  <c r="W6" i="12"/>
  <c r="AA5" i="12"/>
  <c r="Z5" i="12"/>
  <c r="Y5" i="12"/>
  <c r="X5" i="12"/>
  <c r="W5" i="12"/>
  <c r="Y152" i="13"/>
  <c r="W152" i="13"/>
  <c r="Y148" i="13"/>
  <c r="W148" i="13"/>
  <c r="Y147" i="13"/>
  <c r="W147" i="13"/>
  <c r="Y146" i="13"/>
  <c r="W146" i="13"/>
  <c r="Y145" i="13"/>
  <c r="W145" i="13"/>
  <c r="Y139" i="13"/>
  <c r="W139" i="13"/>
  <c r="Y138" i="13"/>
  <c r="W138" i="13"/>
  <c r="Y137" i="13"/>
  <c r="W137" i="13"/>
  <c r="Y120" i="13"/>
  <c r="W120" i="13"/>
  <c r="Y115" i="13"/>
  <c r="W115" i="13"/>
  <c r="Y90" i="13"/>
  <c r="W90" i="13"/>
  <c r="Y89" i="13"/>
  <c r="W89" i="13"/>
  <c r="Y88" i="13"/>
  <c r="W88" i="13"/>
  <c r="A73" i="8"/>
  <c r="Q89" i="17" a="1"/>
  <c r="Q91" i="17" a="1"/>
  <c r="U23" i="17" a="1"/>
  <c r="T23" i="17" a="1"/>
  <c r="Q91" i="17" l="1"/>
  <c r="Z91" i="17" s="1"/>
  <c r="Q89" i="17"/>
  <c r="Z89" i="17" s="1"/>
  <c r="Z93" i="16"/>
  <c r="Z91" i="16"/>
  <c r="AN14" i="14"/>
  <c r="AO14" i="14"/>
  <c r="U23" i="17"/>
  <c r="AD23" i="17" s="1"/>
  <c r="T23" i="17"/>
  <c r="AC23" i="17" s="1"/>
  <c r="T6" i="14"/>
  <c r="Y80" i="13"/>
  <c r="W80" i="13"/>
  <c r="Y79" i="13"/>
  <c r="W79" i="13"/>
  <c r="Y78" i="13"/>
  <c r="W78" i="13"/>
  <c r="Y75" i="13"/>
  <c r="W75" i="13"/>
  <c r="Y70" i="13"/>
  <c r="W70" i="13"/>
  <c r="Y67" i="13"/>
  <c r="W67" i="13"/>
  <c r="Y65" i="13"/>
  <c r="W65" i="13"/>
  <c r="Y60" i="13"/>
  <c r="W60" i="13"/>
  <c r="Y59" i="13"/>
  <c r="W59" i="13"/>
  <c r="Y58" i="13"/>
  <c r="W58" i="13"/>
  <c r="Y49" i="13"/>
  <c r="W49" i="13"/>
  <c r="Y44" i="13"/>
  <c r="W44" i="13"/>
  <c r="Y40" i="13"/>
  <c r="W40" i="13"/>
  <c r="Y37" i="13"/>
  <c r="W37" i="13"/>
  <c r="Y26" i="13"/>
  <c r="X26" i="13"/>
  <c r="W26" i="13"/>
  <c r="AD25" i="13"/>
  <c r="AC25" i="13"/>
  <c r="AB25" i="13"/>
  <c r="AA25" i="13"/>
  <c r="Z25" i="13"/>
  <c r="Y25" i="13"/>
  <c r="X25" i="13"/>
  <c r="W25" i="13"/>
  <c r="Y23" i="13"/>
  <c r="X23" i="13"/>
  <c r="W23" i="13"/>
  <c r="AD22" i="13"/>
  <c r="AC22" i="13"/>
  <c r="AB22" i="13"/>
  <c r="AA22" i="13"/>
  <c r="Z22" i="13"/>
  <c r="Y22" i="13"/>
  <c r="X22" i="13"/>
  <c r="W22" i="13"/>
  <c r="AA18" i="13"/>
  <c r="AB18" i="13"/>
  <c r="AC18" i="13"/>
  <c r="AD18" i="13"/>
  <c r="Z18" i="13"/>
  <c r="W18" i="13"/>
  <c r="X18" i="13"/>
  <c r="Y18" i="13"/>
  <c r="Y19" i="13"/>
  <c r="X19" i="13"/>
  <c r="W19" i="13"/>
  <c r="W6" i="13"/>
  <c r="X6" i="13"/>
  <c r="Y6" i="13"/>
  <c r="W7" i="13"/>
  <c r="X7" i="13"/>
  <c r="Y7" i="13"/>
  <c r="W8" i="13"/>
  <c r="X8" i="13"/>
  <c r="Y8" i="13"/>
  <c r="W9" i="13"/>
  <c r="X9" i="13"/>
  <c r="Y9" i="13"/>
  <c r="W10" i="13"/>
  <c r="X10" i="13"/>
  <c r="Y10" i="13"/>
  <c r="W11" i="13"/>
  <c r="X11" i="13"/>
  <c r="Y11" i="13"/>
  <c r="W12" i="13"/>
  <c r="X12" i="13"/>
  <c r="Y12" i="13"/>
  <c r="W13" i="13"/>
  <c r="X13" i="13"/>
  <c r="Y13" i="13"/>
  <c r="AA5" i="13"/>
  <c r="Z5" i="13"/>
  <c r="Y5" i="13"/>
  <c r="X5" i="13"/>
  <c r="W5" i="13"/>
  <c r="P26" i="13"/>
  <c r="O26" i="13"/>
  <c r="P26" i="12"/>
  <c r="O26" i="12"/>
  <c r="P26" i="10"/>
  <c r="O26" i="10"/>
  <c r="I26" i="8"/>
  <c r="J26" i="8"/>
  <c r="H26" i="8"/>
  <c r="O26" i="8"/>
  <c r="N26" i="8"/>
  <c r="U6" i="14" l="1"/>
  <c r="P23" i="13"/>
  <c r="O23" i="13"/>
  <c r="P19" i="13"/>
  <c r="O19" i="13"/>
  <c r="P15" i="13"/>
  <c r="O15" i="13"/>
  <c r="P13" i="13"/>
  <c r="O13" i="13"/>
  <c r="H13" i="13"/>
  <c r="P12" i="13"/>
  <c r="O12" i="13"/>
  <c r="P11" i="13"/>
  <c r="O11" i="13"/>
  <c r="P10" i="13"/>
  <c r="O10" i="13"/>
  <c r="P9" i="13"/>
  <c r="O9" i="13"/>
  <c r="P8" i="13"/>
  <c r="O8" i="13"/>
  <c r="P7" i="13"/>
  <c r="O7" i="13"/>
  <c r="P6" i="13"/>
  <c r="O6" i="13"/>
  <c r="R4" i="13"/>
  <c r="P23" i="12"/>
  <c r="O23" i="12"/>
  <c r="P19" i="12"/>
  <c r="O19" i="12"/>
  <c r="P15" i="12"/>
  <c r="O15" i="12"/>
  <c r="P13" i="12"/>
  <c r="O13" i="12"/>
  <c r="H13" i="12"/>
  <c r="P12" i="12"/>
  <c r="O12" i="12"/>
  <c r="P11" i="12"/>
  <c r="O11" i="12"/>
  <c r="P10" i="12"/>
  <c r="O10" i="12"/>
  <c r="P9" i="12"/>
  <c r="O9" i="12"/>
  <c r="P8" i="12"/>
  <c r="O8" i="12"/>
  <c r="P7" i="12"/>
  <c r="O7" i="12"/>
  <c r="P6" i="12"/>
  <c r="O6" i="12"/>
  <c r="S4" i="12"/>
  <c r="T4" i="12" s="1"/>
  <c r="U4" i="12" s="1"/>
  <c r="R4" i="12"/>
  <c r="H13" i="10"/>
  <c r="A116" i="8"/>
  <c r="R4" i="10"/>
  <c r="S4" i="10" s="1"/>
  <c r="T4" i="10" s="1"/>
  <c r="U4" i="10" s="1"/>
  <c r="P23" i="10"/>
  <c r="O23" i="10"/>
  <c r="P19" i="10"/>
  <c r="O19" i="10"/>
  <c r="P15" i="10"/>
  <c r="O15" i="10"/>
  <c r="P13" i="10"/>
  <c r="O13" i="10"/>
  <c r="P12" i="10"/>
  <c r="O12" i="10"/>
  <c r="P11" i="10"/>
  <c r="O11" i="10"/>
  <c r="P10" i="10"/>
  <c r="O10" i="10"/>
  <c r="P9" i="10"/>
  <c r="O9" i="10"/>
  <c r="P8" i="10"/>
  <c r="O8" i="10"/>
  <c r="P7" i="10"/>
  <c r="O7" i="10"/>
  <c r="P6" i="10"/>
  <c r="O6" i="10"/>
  <c r="P139" i="8"/>
  <c r="P137" i="8"/>
  <c r="L23" i="8"/>
  <c r="K23" i="8"/>
  <c r="J23" i="8"/>
  <c r="I23" i="8"/>
  <c r="H23" i="8"/>
  <c r="I19" i="8"/>
  <c r="J19" i="8"/>
  <c r="K19" i="8"/>
  <c r="L19" i="8"/>
  <c r="H19" i="8"/>
  <c r="I14" i="8"/>
  <c r="H14" i="8"/>
  <c r="H6" i="8"/>
  <c r="I6" i="8"/>
  <c r="H7" i="8"/>
  <c r="I7" i="8"/>
  <c r="H8" i="8"/>
  <c r="I8" i="8"/>
  <c r="H9" i="8"/>
  <c r="I9" i="8"/>
  <c r="H10" i="8"/>
  <c r="I10" i="8"/>
  <c r="H11" i="8"/>
  <c r="I11" i="8"/>
  <c r="H12" i="8"/>
  <c r="I12" i="8"/>
  <c r="I5" i="8"/>
  <c r="H5" i="8"/>
  <c r="N6" i="8"/>
  <c r="O6" i="8"/>
  <c r="N7" i="8"/>
  <c r="O7" i="8"/>
  <c r="N8" i="8"/>
  <c r="O8" i="8"/>
  <c r="N9" i="8"/>
  <c r="Q145" i="10" s="1"/>
  <c r="O9" i="8"/>
  <c r="N10" i="8"/>
  <c r="O10" i="8"/>
  <c r="N11" i="8"/>
  <c r="O11" i="8"/>
  <c r="N12" i="8"/>
  <c r="O12" i="8"/>
  <c r="N14" i="8"/>
  <c r="O14" i="8"/>
  <c r="A29" i="8"/>
  <c r="A37" i="8"/>
  <c r="A40" i="8"/>
  <c r="A44" i="8"/>
  <c r="A49" i="8"/>
  <c r="A60" i="8"/>
  <c r="A59" i="8"/>
  <c r="A58" i="8"/>
  <c r="B70" i="8"/>
  <c r="B65" i="8"/>
  <c r="B67" i="8"/>
  <c r="B77" i="8"/>
  <c r="B89" i="8"/>
  <c r="B88" i="8"/>
  <c r="B90" i="8"/>
  <c r="A152" i="8"/>
  <c r="A146" i="8"/>
  <c r="A147" i="8"/>
  <c r="A148" i="8"/>
  <c r="A145" i="8"/>
  <c r="A138" i="8"/>
  <c r="A120" i="8"/>
  <c r="A115" i="8"/>
  <c r="P80" i="8"/>
  <c r="B80" i="8" s="1"/>
  <c r="P79" i="8"/>
  <c r="B79" i="8" s="1"/>
  <c r="P78" i="8"/>
  <c r="B78" i="8" s="1"/>
  <c r="O23" i="8"/>
  <c r="N23" i="8"/>
  <c r="O19" i="8"/>
  <c r="N19" i="8"/>
  <c r="O5" i="8"/>
  <c r="N5" i="8"/>
  <c r="A145" i="10" l="1"/>
  <c r="Z145" i="10"/>
  <c r="S4" i="13"/>
  <c r="Q138" i="10"/>
  <c r="Q138" i="12" s="1"/>
  <c r="Q67" i="10"/>
  <c r="Q137" i="10"/>
  <c r="Q37" i="10"/>
  <c r="Q78" i="10"/>
  <c r="Q146" i="10"/>
  <c r="Q70" i="10"/>
  <c r="Q71" i="10" s="1"/>
  <c r="Q40" i="10"/>
  <c r="Q79" i="10"/>
  <c r="Q147" i="10"/>
  <c r="Q139" i="10"/>
  <c r="Q75" i="10"/>
  <c r="Z75" i="10" s="1"/>
  <c r="Q44" i="10"/>
  <c r="Q80" i="10"/>
  <c r="Q148" i="10"/>
  <c r="Q49" i="10"/>
  <c r="Q88" i="10"/>
  <c r="Q152" i="10"/>
  <c r="Q89" i="10"/>
  <c r="Q59" i="10"/>
  <c r="Q90" i="10"/>
  <c r="Q29" i="10"/>
  <c r="Q7" i="10" s="1"/>
  <c r="Z7" i="10" s="1"/>
  <c r="Q58" i="10"/>
  <c r="Q60" i="10"/>
  <c r="Q60" i="12" s="1"/>
  <c r="Q115" i="10"/>
  <c r="Q65" i="10"/>
  <c r="Q120" i="10"/>
  <c r="Q145" i="12"/>
  <c r="Q73" i="12"/>
  <c r="I106" i="7"/>
  <c r="I103" i="7"/>
  <c r="I100" i="7"/>
  <c r="I90" i="7"/>
  <c r="I87" i="7"/>
  <c r="I84" i="7"/>
  <c r="I79" i="7"/>
  <c r="A73" i="7"/>
  <c r="Z145" i="12" l="1"/>
  <c r="Z138" i="12"/>
  <c r="Z60" i="12"/>
  <c r="B77" i="10"/>
  <c r="A29" i="10"/>
  <c r="Q9" i="10"/>
  <c r="H9" i="10" s="1"/>
  <c r="A40" i="10"/>
  <c r="Z40" i="10"/>
  <c r="B70" i="10"/>
  <c r="Z70" i="10"/>
  <c r="A146" i="10"/>
  <c r="Z146" i="10"/>
  <c r="R23" i="10"/>
  <c r="B78" i="10"/>
  <c r="Z78" i="10"/>
  <c r="Q79" i="12"/>
  <c r="Z79" i="10"/>
  <c r="B88" i="10"/>
  <c r="Z88" i="10"/>
  <c r="R9" i="10"/>
  <c r="AA9" i="10" s="1"/>
  <c r="Q78" i="12"/>
  <c r="A49" i="10"/>
  <c r="Z49" i="10"/>
  <c r="A37" i="10"/>
  <c r="Z37" i="10"/>
  <c r="B90" i="10"/>
  <c r="Z90" i="10"/>
  <c r="B89" i="10"/>
  <c r="Z89" i="10"/>
  <c r="A148" i="10"/>
  <c r="Z148" i="10"/>
  <c r="Q137" i="12"/>
  <c r="Z137" i="10"/>
  <c r="R12" i="10"/>
  <c r="AA12" i="10" s="1"/>
  <c r="A59" i="10"/>
  <c r="Z59" i="10"/>
  <c r="A152" i="10"/>
  <c r="Z152" i="10"/>
  <c r="U19" i="10"/>
  <c r="B67" i="10"/>
  <c r="Z67" i="10"/>
  <c r="U23" i="10"/>
  <c r="R6" i="10"/>
  <c r="AA6" i="10" s="1"/>
  <c r="A120" i="10"/>
  <c r="Z120" i="10"/>
  <c r="A138" i="10"/>
  <c r="Z138" i="10"/>
  <c r="Q6" i="10"/>
  <c r="Z6" i="10" s="1"/>
  <c r="B65" i="10"/>
  <c r="Z65" i="10"/>
  <c r="Q80" i="12"/>
  <c r="Z80" i="10"/>
  <c r="R10" i="10"/>
  <c r="AA10" i="10" s="1"/>
  <c r="A115" i="10"/>
  <c r="Z115" i="10"/>
  <c r="A44" i="10"/>
  <c r="Z44" i="10"/>
  <c r="Q12" i="10"/>
  <c r="Z12" i="10" s="1"/>
  <c r="A60" i="10"/>
  <c r="Z60" i="10"/>
  <c r="Q15" i="10"/>
  <c r="H15" i="10" s="1"/>
  <c r="Q19" i="10"/>
  <c r="Z19" i="10" s="1"/>
  <c r="A58" i="10"/>
  <c r="Z58" i="10"/>
  <c r="Q139" i="12"/>
  <c r="Z139" i="10"/>
  <c r="A147" i="10"/>
  <c r="Z147" i="10"/>
  <c r="T23" i="10"/>
  <c r="AC23" i="10" s="1"/>
  <c r="Q11" i="10"/>
  <c r="H11" i="10" s="1"/>
  <c r="T19" i="10"/>
  <c r="AC19" i="10" s="1"/>
  <c r="R8" i="10"/>
  <c r="R15" i="10"/>
  <c r="I15" i="10" s="1"/>
  <c r="S19" i="10"/>
  <c r="S23" i="10"/>
  <c r="R11" i="10"/>
  <c r="AA11" i="10" s="1"/>
  <c r="Q29" i="12"/>
  <c r="Q58" i="12"/>
  <c r="R19" i="10"/>
  <c r="Q147" i="12"/>
  <c r="B80" i="10"/>
  <c r="Q23" i="10"/>
  <c r="Z23" i="10" s="1"/>
  <c r="R13" i="10"/>
  <c r="Q75" i="12"/>
  <c r="A73" i="10"/>
  <c r="R26" i="10"/>
  <c r="Q44" i="12"/>
  <c r="Q8" i="10"/>
  <c r="Z8" i="10" s="1"/>
  <c r="Q10" i="10"/>
  <c r="H10" i="10" s="1"/>
  <c r="R7" i="10"/>
  <c r="AA7" i="10" s="1"/>
  <c r="Q67" i="12"/>
  <c r="A116" i="10"/>
  <c r="Q65" i="12"/>
  <c r="Q115" i="12"/>
  <c r="Q37" i="12"/>
  <c r="B79" i="10"/>
  <c r="Q152" i="12"/>
  <c r="Q59" i="12"/>
  <c r="Q40" i="12"/>
  <c r="T4" i="13"/>
  <c r="Q70" i="12"/>
  <c r="Q90" i="12"/>
  <c r="Q148" i="12"/>
  <c r="Q89" i="12"/>
  <c r="Q146" i="12"/>
  <c r="S26" i="10"/>
  <c r="AB26" i="10" s="1"/>
  <c r="Q120" i="12"/>
  <c r="Q26" i="10"/>
  <c r="Z26" i="10" s="1"/>
  <c r="Q88" i="12"/>
  <c r="Q88" i="13" s="1"/>
  <c r="Q49" i="12"/>
  <c r="Q80" i="13"/>
  <c r="Q75" i="18" s="1"/>
  <c r="Z75" i="18" s="1"/>
  <c r="AC26" i="10"/>
  <c r="A138" i="12"/>
  <c r="Q138" i="13"/>
  <c r="Q137" i="18" s="1"/>
  <c r="A145" i="12"/>
  <c r="Q145" i="13"/>
  <c r="Q144" i="18" s="1"/>
  <c r="A60" i="12"/>
  <c r="Q60" i="13"/>
  <c r="Q58" i="18" s="1"/>
  <c r="H7" i="10"/>
  <c r="H6" i="10"/>
  <c r="I9" i="10"/>
  <c r="I105" i="6"/>
  <c r="I102" i="6"/>
  <c r="I99" i="6"/>
  <c r="I89" i="6"/>
  <c r="I86" i="6"/>
  <c r="I83" i="6"/>
  <c r="I78" i="6"/>
  <c r="A72" i="6"/>
  <c r="Z144" i="18" l="1"/>
  <c r="A144" i="18"/>
  <c r="Z58" i="18"/>
  <c r="A58" i="18"/>
  <c r="Z137" i="18"/>
  <c r="A137" i="18"/>
  <c r="Q139" i="14"/>
  <c r="Q60" i="14"/>
  <c r="K19" i="10"/>
  <c r="Q146" i="14"/>
  <c r="Q77" i="14"/>
  <c r="Z147" i="12"/>
  <c r="Q67" i="13"/>
  <c r="Q65" i="18" s="1"/>
  <c r="Z65" i="18" s="1"/>
  <c r="Z58" i="12"/>
  <c r="Z78" i="12"/>
  <c r="Q71" i="12"/>
  <c r="Q79" i="13"/>
  <c r="B79" i="13" s="1"/>
  <c r="Q44" i="13"/>
  <c r="Q42" i="18" s="1"/>
  <c r="B77" i="12"/>
  <c r="K23" i="10"/>
  <c r="I12" i="10"/>
  <c r="H23" i="10"/>
  <c r="H12" i="10"/>
  <c r="Q147" i="13"/>
  <c r="Q146" i="18" s="1"/>
  <c r="I6" i="10"/>
  <c r="H19" i="10"/>
  <c r="Q15" i="12"/>
  <c r="I7" i="10"/>
  <c r="B78" i="12"/>
  <c r="Q78" i="13"/>
  <c r="Q58" i="13"/>
  <c r="Q56" i="18" s="1"/>
  <c r="A58" i="12"/>
  <c r="A147" i="12"/>
  <c r="R6" i="12"/>
  <c r="H8" i="10"/>
  <c r="Q12" i="12"/>
  <c r="B70" i="12"/>
  <c r="Z70" i="12"/>
  <c r="Q10" i="12"/>
  <c r="Z10" i="10"/>
  <c r="L23" i="10"/>
  <c r="AD23" i="10"/>
  <c r="B79" i="12"/>
  <c r="Z79" i="12"/>
  <c r="A44" i="12"/>
  <c r="Z44" i="12"/>
  <c r="Q8" i="12"/>
  <c r="R9" i="12"/>
  <c r="B88" i="12"/>
  <c r="Z88" i="12"/>
  <c r="A59" i="12"/>
  <c r="Z59" i="12"/>
  <c r="R26" i="12"/>
  <c r="AA26" i="10"/>
  <c r="J23" i="10"/>
  <c r="AB23" i="10"/>
  <c r="B80" i="12"/>
  <c r="Z80" i="12"/>
  <c r="L19" i="10"/>
  <c r="AD19" i="10"/>
  <c r="U23" i="12"/>
  <c r="R15" i="12"/>
  <c r="A152" i="12"/>
  <c r="Z152" i="12"/>
  <c r="J19" i="10"/>
  <c r="AB19" i="10"/>
  <c r="Q40" i="13"/>
  <c r="Q38" i="18" s="1"/>
  <c r="Z40" i="12"/>
  <c r="Q6" i="12"/>
  <c r="Q29" i="13"/>
  <c r="Q19" i="12"/>
  <c r="I23" i="10"/>
  <c r="AA23" i="10"/>
  <c r="A49" i="12"/>
  <c r="Z49" i="12"/>
  <c r="R23" i="12"/>
  <c r="A120" i="12"/>
  <c r="Z120" i="12"/>
  <c r="A73" i="12"/>
  <c r="Z75" i="12"/>
  <c r="A29" i="12"/>
  <c r="I26" i="10"/>
  <c r="A37" i="12"/>
  <c r="Z37" i="12"/>
  <c r="R13" i="12"/>
  <c r="AA13" i="10"/>
  <c r="R8" i="12"/>
  <c r="AA8" i="10"/>
  <c r="S19" i="12"/>
  <c r="T23" i="12"/>
  <c r="A115" i="12"/>
  <c r="Z115" i="12"/>
  <c r="Q23" i="12"/>
  <c r="Q146" i="13"/>
  <c r="Q145" i="18" s="1"/>
  <c r="Z146" i="12"/>
  <c r="B65" i="12"/>
  <c r="Z65" i="12"/>
  <c r="Q11" i="12"/>
  <c r="Z11" i="10"/>
  <c r="U19" i="12"/>
  <c r="Q89" i="13"/>
  <c r="Z89" i="12"/>
  <c r="R7" i="12"/>
  <c r="I10" i="10"/>
  <c r="I11" i="10"/>
  <c r="R19" i="12"/>
  <c r="Q148" i="13"/>
  <c r="Q147" i="18" s="1"/>
  <c r="Z148" i="12"/>
  <c r="B67" i="12"/>
  <c r="Z67" i="12"/>
  <c r="I19" i="10"/>
  <c r="AA19" i="10"/>
  <c r="Q137" i="13"/>
  <c r="Q136" i="18" s="1"/>
  <c r="Z136" i="18" s="1"/>
  <c r="Z137" i="12"/>
  <c r="Q139" i="13"/>
  <c r="Q138" i="18" s="1"/>
  <c r="Z138" i="18" s="1"/>
  <c r="Z139" i="12"/>
  <c r="Q7" i="12"/>
  <c r="S23" i="12"/>
  <c r="R12" i="12"/>
  <c r="T19" i="12"/>
  <c r="AD26" i="12"/>
  <c r="AD26" i="10"/>
  <c r="B90" i="12"/>
  <c r="Z90" i="12"/>
  <c r="Q9" i="12"/>
  <c r="Z9" i="10"/>
  <c r="A145" i="13"/>
  <c r="Z145" i="13"/>
  <c r="A138" i="13"/>
  <c r="Z138" i="13"/>
  <c r="I13" i="10"/>
  <c r="Q75" i="13"/>
  <c r="Q70" i="13"/>
  <c r="Q66" i="18" s="1"/>
  <c r="AC26" i="12"/>
  <c r="R11" i="12"/>
  <c r="I8" i="10"/>
  <c r="R10" i="12"/>
  <c r="A148" i="12"/>
  <c r="B89" i="12"/>
  <c r="Q152" i="13"/>
  <c r="Q151" i="18" s="1"/>
  <c r="Q115" i="13"/>
  <c r="Q114" i="18" s="1"/>
  <c r="A60" i="13"/>
  <c r="Z60" i="13"/>
  <c r="Q65" i="13"/>
  <c r="Q63" i="18" s="1"/>
  <c r="Z63" i="18" s="1"/>
  <c r="A146" i="12"/>
  <c r="B67" i="13"/>
  <c r="Z67" i="13"/>
  <c r="B80" i="13"/>
  <c r="Z80" i="13"/>
  <c r="Q37" i="13"/>
  <c r="Q35" i="18" s="1"/>
  <c r="Q59" i="13"/>
  <c r="Q57" i="18" s="1"/>
  <c r="Q49" i="13"/>
  <c r="Q47" i="18" s="1"/>
  <c r="A116" i="12"/>
  <c r="Q90" i="13"/>
  <c r="A40" i="12"/>
  <c r="Q120" i="13"/>
  <c r="Q119" i="18" s="1"/>
  <c r="U4" i="13"/>
  <c r="H26" i="10"/>
  <c r="Q26" i="12"/>
  <c r="J26" i="10"/>
  <c r="S26" i="12"/>
  <c r="I105" i="5"/>
  <c r="I102" i="5"/>
  <c r="I99" i="5"/>
  <c r="I89" i="5"/>
  <c r="I86" i="5"/>
  <c r="I83" i="5"/>
  <c r="I78" i="5"/>
  <c r="I107" i="4"/>
  <c r="I104" i="4"/>
  <c r="I101" i="4"/>
  <c r="I91" i="4"/>
  <c r="I88" i="4"/>
  <c r="I85" i="4"/>
  <c r="I80" i="4"/>
  <c r="A74" i="4"/>
  <c r="A171" i="3"/>
  <c r="A170" i="3"/>
  <c r="A169" i="3"/>
  <c r="A173" i="4" s="1"/>
  <c r="A168" i="3"/>
  <c r="A172" i="4" s="1"/>
  <c r="A143" i="3"/>
  <c r="I138" i="3"/>
  <c r="I137" i="3"/>
  <c r="I141" i="4" s="1"/>
  <c r="C75" i="3"/>
  <c r="I89" i="3" s="1"/>
  <c r="A67" i="3"/>
  <c r="F62" i="3"/>
  <c r="F64" i="4" s="1"/>
  <c r="F61" i="3"/>
  <c r="F60" i="3"/>
  <c r="A52" i="3"/>
  <c r="A54" i="4" s="1"/>
  <c r="G44" i="3"/>
  <c r="G46" i="4" s="1"/>
  <c r="G41" i="3"/>
  <c r="G38" i="3"/>
  <c r="I27" i="3"/>
  <c r="H27" i="3"/>
  <c r="I24" i="3"/>
  <c r="I23" i="3"/>
  <c r="I22" i="3"/>
  <c r="I21" i="3"/>
  <c r="I20" i="3"/>
  <c r="I17" i="3"/>
  <c r="I16" i="3"/>
  <c r="I15" i="3"/>
  <c r="I14" i="3"/>
  <c r="I16" i="4" s="1"/>
  <c r="I13" i="3"/>
  <c r="I11" i="3"/>
  <c r="I10" i="3"/>
  <c r="H10" i="3"/>
  <c r="I9" i="3"/>
  <c r="H9" i="3"/>
  <c r="I8" i="3"/>
  <c r="H8" i="3"/>
  <c r="H8" i="6" s="1"/>
  <c r="I7" i="3"/>
  <c r="H7" i="3"/>
  <c r="I6" i="3"/>
  <c r="H6" i="3"/>
  <c r="I5" i="3"/>
  <c r="H5" i="3"/>
  <c r="H5" i="4" s="1"/>
  <c r="H5" i="7" s="1"/>
  <c r="A181" i="2"/>
  <c r="A180" i="2"/>
  <c r="A179" i="2"/>
  <c r="A178" i="2"/>
  <c r="A153" i="2"/>
  <c r="I148" i="2"/>
  <c r="I147" i="2"/>
  <c r="F62" i="2"/>
  <c r="F61" i="2"/>
  <c r="F60" i="2"/>
  <c r="A52" i="2"/>
  <c r="G44" i="2"/>
  <c r="G41" i="2"/>
  <c r="G38" i="2"/>
  <c r="I27" i="2"/>
  <c r="H27" i="2"/>
  <c r="I24" i="2"/>
  <c r="I23" i="2"/>
  <c r="I22" i="2"/>
  <c r="I21" i="2"/>
  <c r="I20" i="2"/>
  <c r="I17" i="2"/>
  <c r="I16" i="2"/>
  <c r="I15" i="2"/>
  <c r="I14" i="2"/>
  <c r="I13" i="2"/>
  <c r="I11" i="2"/>
  <c r="I10" i="2"/>
  <c r="H10" i="2"/>
  <c r="I9" i="2"/>
  <c r="H9" i="2"/>
  <c r="I8" i="2"/>
  <c r="H8" i="2"/>
  <c r="I7" i="2"/>
  <c r="H7" i="2"/>
  <c r="I6" i="2"/>
  <c r="H6" i="2"/>
  <c r="L5" i="2"/>
  <c r="I5" i="2"/>
  <c r="H5" i="2"/>
  <c r="Q144" i="16" a="1"/>
  <c r="Q56" i="16" a="1"/>
  <c r="Q137" i="16" a="1"/>
  <c r="Z151" i="18" l="1"/>
  <c r="A151" i="18"/>
  <c r="A47" i="18"/>
  <c r="Z47" i="18"/>
  <c r="A145" i="18"/>
  <c r="Z145" i="18"/>
  <c r="A146" i="18"/>
  <c r="Z146" i="18"/>
  <c r="Z147" i="18"/>
  <c r="A147" i="18"/>
  <c r="Z38" i="18"/>
  <c r="A38" i="18"/>
  <c r="Z42" i="18"/>
  <c r="A42" i="18"/>
  <c r="Z56" i="18"/>
  <c r="A56" i="18"/>
  <c r="Z57" i="18"/>
  <c r="A57" i="18"/>
  <c r="Z35" i="18"/>
  <c r="A35" i="18"/>
  <c r="Z67" i="18"/>
  <c r="Q67" i="18"/>
  <c r="A119" i="18"/>
  <c r="Z119" i="18"/>
  <c r="Z114" i="18"/>
  <c r="A114" i="18"/>
  <c r="A115" i="18"/>
  <c r="Q144" i="16"/>
  <c r="A144" i="16" s="1"/>
  <c r="Q137" i="16"/>
  <c r="Z137" i="16" s="1"/>
  <c r="A146" i="14"/>
  <c r="A139" i="14"/>
  <c r="Q56" i="16"/>
  <c r="Z77" i="14"/>
  <c r="A60" i="14"/>
  <c r="Z139" i="14"/>
  <c r="AG139" i="14" s="1"/>
  <c r="Z146" i="14"/>
  <c r="AG146" i="14" s="1"/>
  <c r="Q121" i="14"/>
  <c r="Q65" i="14"/>
  <c r="Q68" i="14"/>
  <c r="Z148" i="13"/>
  <c r="Q149" i="14"/>
  <c r="A146" i="13"/>
  <c r="Q147" i="14"/>
  <c r="Q116" i="14"/>
  <c r="Q59" i="14"/>
  <c r="Q153" i="14"/>
  <c r="A73" i="13"/>
  <c r="Z139" i="13"/>
  <c r="Q140" i="14"/>
  <c r="Z58" i="13"/>
  <c r="Q58" i="14"/>
  <c r="A44" i="13"/>
  <c r="Q44" i="14"/>
  <c r="A44" i="14" s="1"/>
  <c r="Q49" i="14"/>
  <c r="Q37" i="14"/>
  <c r="A40" i="13"/>
  <c r="Q40" i="14"/>
  <c r="B78" i="13"/>
  <c r="Z60" i="14"/>
  <c r="AG60" i="14" s="1"/>
  <c r="Z147" i="13"/>
  <c r="Q148" i="14"/>
  <c r="Z137" i="13"/>
  <c r="Q138" i="14"/>
  <c r="B89" i="13"/>
  <c r="Q67" i="14"/>
  <c r="Z79" i="13"/>
  <c r="Z44" i="13"/>
  <c r="AA19" i="12"/>
  <c r="Z10" i="12"/>
  <c r="H15" i="12"/>
  <c r="AB23" i="12"/>
  <c r="AA23" i="12"/>
  <c r="AD23" i="12"/>
  <c r="I15" i="12"/>
  <c r="AA12" i="12"/>
  <c r="Z8" i="12"/>
  <c r="I6" i="12"/>
  <c r="Z6" i="12"/>
  <c r="AA10" i="12"/>
  <c r="Z78" i="13"/>
  <c r="A58" i="13"/>
  <c r="R15" i="13"/>
  <c r="A147" i="13"/>
  <c r="Z40" i="13"/>
  <c r="B70" i="13"/>
  <c r="Q71" i="13"/>
  <c r="Z71" i="13" s="1"/>
  <c r="Q15" i="13"/>
  <c r="H15" i="13" s="1"/>
  <c r="Q12" i="13"/>
  <c r="H12" i="13" s="1"/>
  <c r="H8" i="12"/>
  <c r="L23" i="12"/>
  <c r="T19" i="13"/>
  <c r="R23" i="13"/>
  <c r="Q19" i="13"/>
  <c r="S23" i="13"/>
  <c r="Q7" i="13"/>
  <c r="Q23" i="13"/>
  <c r="A29" i="13"/>
  <c r="I23" i="12"/>
  <c r="R9" i="13"/>
  <c r="S19" i="13"/>
  <c r="Q8" i="13"/>
  <c r="H8" i="13" s="1"/>
  <c r="R11" i="13"/>
  <c r="I12" i="12"/>
  <c r="R6" i="13"/>
  <c r="R26" i="13"/>
  <c r="J23" i="12"/>
  <c r="Q11" i="13"/>
  <c r="H11" i="13" s="1"/>
  <c r="I19" i="12"/>
  <c r="T23" i="13"/>
  <c r="R8" i="13"/>
  <c r="R10" i="13"/>
  <c r="R13" i="13"/>
  <c r="AA6" i="12"/>
  <c r="H10" i="12"/>
  <c r="AD26" i="13"/>
  <c r="Z75" i="13"/>
  <c r="A148" i="13"/>
  <c r="R12" i="13"/>
  <c r="Q10" i="13"/>
  <c r="H10" i="13" s="1"/>
  <c r="R19" i="13"/>
  <c r="AC26" i="13"/>
  <c r="Z89" i="13"/>
  <c r="K23" i="12"/>
  <c r="AC23" i="12"/>
  <c r="J19" i="12"/>
  <c r="AB19" i="12"/>
  <c r="I7" i="12"/>
  <c r="AA7" i="12"/>
  <c r="L19" i="12"/>
  <c r="AD19" i="12"/>
  <c r="I8" i="12"/>
  <c r="AA8" i="12"/>
  <c r="I26" i="12"/>
  <c r="AA26" i="12"/>
  <c r="H9" i="12"/>
  <c r="Z9" i="12"/>
  <c r="Q9" i="13"/>
  <c r="Z9" i="13" s="1"/>
  <c r="I10" i="12"/>
  <c r="J26" i="12"/>
  <c r="AB26" i="12"/>
  <c r="Z146" i="13"/>
  <c r="H11" i="12"/>
  <c r="Z11" i="12"/>
  <c r="I13" i="12"/>
  <c r="AA13" i="12"/>
  <c r="R7" i="13"/>
  <c r="Q9" i="14" s="1"/>
  <c r="Z9" i="14" s="1"/>
  <c r="AL9" i="14" s="1"/>
  <c r="Q6" i="13"/>
  <c r="H6" i="13" s="1"/>
  <c r="H26" i="12"/>
  <c r="Z26" i="12"/>
  <c r="K19" i="12"/>
  <c r="AC19" i="12"/>
  <c r="H6" i="12"/>
  <c r="I11" i="12"/>
  <c r="AA11" i="12"/>
  <c r="I9" i="12"/>
  <c r="AA9" i="12"/>
  <c r="H12" i="12"/>
  <c r="Z12" i="12"/>
  <c r="H7" i="12"/>
  <c r="Z7" i="12"/>
  <c r="H23" i="12"/>
  <c r="Z23" i="12"/>
  <c r="H19" i="12"/>
  <c r="Z19" i="12"/>
  <c r="B90" i="13"/>
  <c r="Z90" i="13"/>
  <c r="A152" i="13"/>
  <c r="Z152" i="13"/>
  <c r="B77" i="13"/>
  <c r="A116" i="13"/>
  <c r="Z115" i="13"/>
  <c r="B88" i="13"/>
  <c r="Z88" i="13"/>
  <c r="A120" i="13"/>
  <c r="Z120" i="13"/>
  <c r="Z70" i="13"/>
  <c r="A115" i="13"/>
  <c r="A59" i="13"/>
  <c r="Z59" i="13"/>
  <c r="B65" i="13"/>
  <c r="Z65" i="13"/>
  <c r="A49" i="13"/>
  <c r="Z49" i="13"/>
  <c r="A37" i="13"/>
  <c r="Z37" i="13"/>
  <c r="Q26" i="13"/>
  <c r="U23" i="13"/>
  <c r="U19" i="13"/>
  <c r="S26" i="13"/>
  <c r="A72" i="5"/>
  <c r="A168" i="5"/>
  <c r="F62" i="5"/>
  <c r="A67" i="6"/>
  <c r="A68" i="7"/>
  <c r="A173" i="6"/>
  <c r="A174" i="7"/>
  <c r="I78" i="3"/>
  <c r="I83" i="3"/>
  <c r="A167" i="5"/>
  <c r="I136" i="5"/>
  <c r="I99" i="3"/>
  <c r="A69" i="4"/>
  <c r="G38" i="6"/>
  <c r="G39" i="7"/>
  <c r="I102" i="3"/>
  <c r="I15" i="7"/>
  <c r="I14" i="5"/>
  <c r="G41" i="6"/>
  <c r="G42" i="7"/>
  <c r="I139" i="6"/>
  <c r="I140" i="7"/>
  <c r="G44" i="6"/>
  <c r="G45" i="7"/>
  <c r="I140" i="6"/>
  <c r="I141" i="7"/>
  <c r="A52" i="6"/>
  <c r="A53" i="7"/>
  <c r="A145" i="6"/>
  <c r="A146" i="7"/>
  <c r="F60" i="6"/>
  <c r="F61" i="7"/>
  <c r="A170" i="6"/>
  <c r="A171" i="7"/>
  <c r="G44" i="5"/>
  <c r="F61" i="6"/>
  <c r="F62" i="7"/>
  <c r="A171" i="6"/>
  <c r="A172" i="7"/>
  <c r="A52" i="5"/>
  <c r="F62" i="6"/>
  <c r="F63" i="7"/>
  <c r="A172" i="6"/>
  <c r="A173" i="7"/>
  <c r="H6" i="4"/>
  <c r="H6" i="5" s="1"/>
  <c r="H6" i="6"/>
  <c r="H10" i="6"/>
  <c r="H12" i="4"/>
  <c r="I20" i="6"/>
  <c r="I22" i="4"/>
  <c r="I9" i="4"/>
  <c r="I8" i="6"/>
  <c r="I23" i="4"/>
  <c r="I21" i="6"/>
  <c r="H5" i="5"/>
  <c r="H5" i="6"/>
  <c r="H8" i="4"/>
  <c r="H7" i="6"/>
  <c r="H9" i="6"/>
  <c r="H10" i="4"/>
  <c r="I11" i="6"/>
  <c r="I13" i="4"/>
  <c r="I16" i="6"/>
  <c r="I18" i="4"/>
  <c r="I22" i="6"/>
  <c r="I24" i="4"/>
  <c r="I29" i="4"/>
  <c r="I27" i="6"/>
  <c r="I86" i="3"/>
  <c r="I105" i="3"/>
  <c r="G40" i="4"/>
  <c r="F62" i="4"/>
  <c r="I142" i="4"/>
  <c r="A174" i="4"/>
  <c r="A69" i="3"/>
  <c r="A70" i="7" s="1"/>
  <c r="I14" i="6"/>
  <c r="I24" i="6"/>
  <c r="I26" i="4"/>
  <c r="I6" i="4"/>
  <c r="I6" i="5" s="1"/>
  <c r="I6" i="6"/>
  <c r="I12" i="4"/>
  <c r="I10" i="6"/>
  <c r="I17" i="4"/>
  <c r="I15" i="6"/>
  <c r="H29" i="4"/>
  <c r="H27" i="6"/>
  <c r="I5" i="4"/>
  <c r="I5" i="6"/>
  <c r="K5" i="6" s="1"/>
  <c r="I7" i="6"/>
  <c r="I8" i="4"/>
  <c r="I10" i="4"/>
  <c r="I9" i="6"/>
  <c r="I13" i="6"/>
  <c r="I15" i="4"/>
  <c r="I17" i="6"/>
  <c r="I19" i="4"/>
  <c r="I23" i="6"/>
  <c r="I25" i="4"/>
  <c r="G43" i="4"/>
  <c r="F63" i="4"/>
  <c r="A147" i="4"/>
  <c r="A175" i="4"/>
  <c r="Q45" i="16" a="1"/>
  <c r="Q87" i="16" a="1"/>
  <c r="Q55" i="16" a="1"/>
  <c r="Q36" i="16" a="1"/>
  <c r="Q40" i="16" a="1"/>
  <c r="Q138" i="16" a="1"/>
  <c r="Q55" i="17" a="1"/>
  <c r="Q135" i="17" a="1"/>
  <c r="Q142" i="17" a="1"/>
  <c r="Q145" i="16" a="1"/>
  <c r="Q151" i="16" a="1"/>
  <c r="Q119" i="16" a="1"/>
  <c r="Q136" i="16" a="1"/>
  <c r="Q114" i="16" a="1"/>
  <c r="Q33" i="16" a="1"/>
  <c r="Q147" i="16" a="1"/>
  <c r="Q146" i="16" a="1"/>
  <c r="Q54" i="16" a="1"/>
  <c r="Q88" i="16" a="1"/>
  <c r="Q10" i="14" l="1"/>
  <c r="Z10" i="14" s="1"/>
  <c r="AL10" i="14" s="1"/>
  <c r="Q10" i="18"/>
  <c r="Q11" i="14"/>
  <c r="Z11" i="14" s="1"/>
  <c r="AL11" i="14" s="1"/>
  <c r="Q11" i="18"/>
  <c r="Q13" i="14"/>
  <c r="Z13" i="14" s="1"/>
  <c r="AL13" i="14" s="1"/>
  <c r="Q13" i="18"/>
  <c r="Q8" i="14"/>
  <c r="Z8" i="14" s="1"/>
  <c r="AL8" i="14" s="1"/>
  <c r="Q8" i="18"/>
  <c r="Q12" i="14"/>
  <c r="Z12" i="14" s="1"/>
  <c r="AL12" i="14" s="1"/>
  <c r="Q12" i="18"/>
  <c r="B86" i="16"/>
  <c r="Z69" i="14"/>
  <c r="Q69" i="14"/>
  <c r="A137" i="16"/>
  <c r="Q138" i="16"/>
  <c r="Q142" i="17"/>
  <c r="Q114" i="16"/>
  <c r="A114" i="16" s="1"/>
  <c r="Q145" i="16"/>
  <c r="A145" i="16" s="1"/>
  <c r="Q147" i="16"/>
  <c r="Q88" i="16"/>
  <c r="B88" i="16" s="1"/>
  <c r="Q136" i="16"/>
  <c r="Q146" i="16"/>
  <c r="Z146" i="16" s="1"/>
  <c r="Q87" i="16"/>
  <c r="B87" i="16" s="1"/>
  <c r="Q151" i="16"/>
  <c r="A151" i="16" s="1"/>
  <c r="Q119" i="16"/>
  <c r="Z119" i="16" s="1"/>
  <c r="Q135" i="17"/>
  <c r="Z140" i="14"/>
  <c r="AG140" i="14" s="1"/>
  <c r="Z144" i="16"/>
  <c r="Z138" i="14"/>
  <c r="AG138" i="14" s="1"/>
  <c r="Z148" i="14"/>
  <c r="AG148" i="14" s="1"/>
  <c r="Q55" i="17"/>
  <c r="A55" i="17" s="1"/>
  <c r="A56" i="16"/>
  <c r="Z56" i="16"/>
  <c r="Q54" i="16"/>
  <c r="Q36" i="16"/>
  <c r="Q33" i="16"/>
  <c r="Q45" i="16"/>
  <c r="Q55" i="16"/>
  <c r="Q40" i="16"/>
  <c r="A40" i="16" s="1"/>
  <c r="A58" i="14"/>
  <c r="Z44" i="14"/>
  <c r="AG44" i="14" s="1"/>
  <c r="A148" i="14"/>
  <c r="Z58" i="14"/>
  <c r="AG58" i="14" s="1"/>
  <c r="Z67" i="14"/>
  <c r="AA26" i="13"/>
  <c r="H19" i="13"/>
  <c r="AA6" i="13"/>
  <c r="AA23" i="13"/>
  <c r="R23" i="14"/>
  <c r="I23" i="14" s="1"/>
  <c r="Z59" i="14"/>
  <c r="AG59" i="14" s="1"/>
  <c r="A59" i="14"/>
  <c r="Z149" i="14"/>
  <c r="AG149" i="14" s="1"/>
  <c r="A149" i="14"/>
  <c r="U23" i="14"/>
  <c r="L23" i="14" s="1"/>
  <c r="AC19" i="13"/>
  <c r="Z88" i="14"/>
  <c r="AG88" i="14" s="1"/>
  <c r="I11" i="13"/>
  <c r="Z40" i="14"/>
  <c r="AG40" i="14" s="1"/>
  <c r="A40" i="14"/>
  <c r="Z90" i="14"/>
  <c r="AG90" i="14" s="1"/>
  <c r="I13" i="13"/>
  <c r="Z14" i="14"/>
  <c r="AL14" i="14" s="1"/>
  <c r="J19" i="13"/>
  <c r="A116" i="14"/>
  <c r="A117" i="14"/>
  <c r="Z116" i="14"/>
  <c r="AG116" i="14" s="1"/>
  <c r="AA9" i="13"/>
  <c r="I7" i="13"/>
  <c r="I8" i="13"/>
  <c r="Z37" i="14"/>
  <c r="AG37" i="14" s="1"/>
  <c r="A37" i="14"/>
  <c r="I10" i="13"/>
  <c r="K23" i="13"/>
  <c r="T23" i="14"/>
  <c r="Q80" i="14"/>
  <c r="Z80" i="14" s="1"/>
  <c r="Q79" i="14"/>
  <c r="Z79" i="14" s="1"/>
  <c r="Q78" i="14"/>
  <c r="Z78" i="14" s="1"/>
  <c r="Z147" i="14"/>
  <c r="AG147" i="14" s="1"/>
  <c r="A147" i="14"/>
  <c r="Z65" i="14"/>
  <c r="H23" i="13"/>
  <c r="Q23" i="14"/>
  <c r="A49" i="14"/>
  <c r="Z49" i="14"/>
  <c r="AG49" i="14" s="1"/>
  <c r="AA19" i="13"/>
  <c r="Z121" i="14"/>
  <c r="AG121" i="14" s="1"/>
  <c r="A121" i="14"/>
  <c r="AA12" i="13"/>
  <c r="J23" i="13"/>
  <c r="S23" i="14"/>
  <c r="I15" i="13"/>
  <c r="Z89" i="14"/>
  <c r="AG89" i="14" s="1"/>
  <c r="Z153" i="14"/>
  <c r="AG153" i="14" s="1"/>
  <c r="A153" i="14"/>
  <c r="Z7" i="13"/>
  <c r="H7" i="13"/>
  <c r="K19" i="13"/>
  <c r="I6" i="13"/>
  <c r="I9" i="13"/>
  <c r="I23" i="13"/>
  <c r="Z19" i="13"/>
  <c r="Z8" i="13"/>
  <c r="AA13" i="13"/>
  <c r="I26" i="13"/>
  <c r="AB19" i="13"/>
  <c r="Z12" i="13"/>
  <c r="AA11" i="13"/>
  <c r="Z23" i="13"/>
  <c r="Z11" i="13"/>
  <c r="AB23" i="13"/>
  <c r="Z10" i="13"/>
  <c r="I12" i="13"/>
  <c r="AC23" i="13"/>
  <c r="I19" i="13"/>
  <c r="H9" i="13"/>
  <c r="AA10" i="13"/>
  <c r="AA8" i="13"/>
  <c r="AA7" i="13"/>
  <c r="Z6" i="13"/>
  <c r="L19" i="13"/>
  <c r="AD19" i="13"/>
  <c r="L23" i="13"/>
  <c r="AD23" i="13"/>
  <c r="H26" i="13"/>
  <c r="Z26" i="13"/>
  <c r="J26" i="13"/>
  <c r="AB26" i="13"/>
  <c r="I28" i="7"/>
  <c r="I27" i="5"/>
  <c r="I7" i="7"/>
  <c r="I7" i="5"/>
  <c r="A142" i="5"/>
  <c r="I8" i="7"/>
  <c r="I8" i="5"/>
  <c r="I23" i="7"/>
  <c r="I22" i="5"/>
  <c r="A169" i="5"/>
  <c r="I12" i="7"/>
  <c r="I11" i="5"/>
  <c r="I21" i="7"/>
  <c r="I20" i="5"/>
  <c r="G41" i="5"/>
  <c r="I137" i="5"/>
  <c r="H27" i="5"/>
  <c r="H28" i="7"/>
  <c r="I18" i="7"/>
  <c r="I17" i="5"/>
  <c r="F60" i="5"/>
  <c r="H9" i="5"/>
  <c r="H9" i="7"/>
  <c r="H10" i="5"/>
  <c r="H11" i="7"/>
  <c r="I16" i="7"/>
  <c r="I15" i="5"/>
  <c r="G38" i="5"/>
  <c r="A67" i="5"/>
  <c r="H8" i="5"/>
  <c r="A170" i="5"/>
  <c r="I22" i="7"/>
  <c r="I21" i="5"/>
  <c r="I5" i="7"/>
  <c r="I5" i="5"/>
  <c r="I14" i="7"/>
  <c r="I13" i="5"/>
  <c r="I9" i="7"/>
  <c r="I9" i="5"/>
  <c r="F61" i="5"/>
  <c r="I17" i="7"/>
  <c r="I16" i="5"/>
  <c r="I24" i="7"/>
  <c r="I23" i="5"/>
  <c r="I11" i="7"/>
  <c r="I10" i="5"/>
  <c r="H7" i="5"/>
  <c r="H7" i="7"/>
  <c r="I25" i="7"/>
  <c r="I24" i="5"/>
  <c r="A69" i="6"/>
  <c r="A71" i="4"/>
  <c r="S23" i="16" a="1"/>
  <c r="Q84" i="17" a="1"/>
  <c r="Q149" i="17" a="1"/>
  <c r="Q8" i="16" a="1"/>
  <c r="Q134" i="17" a="1"/>
  <c r="Q44" i="17" a="1"/>
  <c r="Q23" i="16" a="1"/>
  <c r="Q10" i="16" a="1"/>
  <c r="Q112" i="17" a="1"/>
  <c r="Q32" i="17" a="1"/>
  <c r="Q13" i="16" a="1"/>
  <c r="Q53" i="17" a="1"/>
  <c r="Q12" i="16" a="1"/>
  <c r="Q11" i="16" a="1"/>
  <c r="Q143" i="17" a="1"/>
  <c r="Q86" i="17" a="1"/>
  <c r="Q136" i="17" a="1"/>
  <c r="Q54" i="17" a="1"/>
  <c r="Q9" i="16" a="1"/>
  <c r="Q39" i="17" a="1"/>
  <c r="Q144" i="17" a="1"/>
  <c r="Q35" i="17" a="1"/>
  <c r="R23" i="16" a="1"/>
  <c r="Q117" i="17" a="1"/>
  <c r="Q85" i="17" a="1"/>
  <c r="Q145" i="17" a="1"/>
  <c r="R12" i="18" l="1"/>
  <c r="Z12" i="18"/>
  <c r="H12" i="18"/>
  <c r="R8" i="18"/>
  <c r="H8" i="18"/>
  <c r="Z8" i="18"/>
  <c r="R13" i="18"/>
  <c r="Z13" i="18"/>
  <c r="H13" i="18"/>
  <c r="Z11" i="18"/>
  <c r="H11" i="18"/>
  <c r="R11" i="18"/>
  <c r="R10" i="18"/>
  <c r="Z10" i="18"/>
  <c r="H10" i="18"/>
  <c r="Q92" i="16"/>
  <c r="Q84" i="17"/>
  <c r="B84" i="17" s="1"/>
  <c r="Q86" i="17"/>
  <c r="B86" i="17" s="1"/>
  <c r="Q85" i="17"/>
  <c r="B85" i="17" s="1"/>
  <c r="AA23" i="14"/>
  <c r="Z145" i="16"/>
  <c r="A146" i="16"/>
  <c r="A119" i="16"/>
  <c r="Z114" i="16"/>
  <c r="A115" i="16"/>
  <c r="Q145" i="17"/>
  <c r="Q117" i="17"/>
  <c r="Q149" i="17"/>
  <c r="Q144" i="17"/>
  <c r="Q134" i="17"/>
  <c r="Z134" i="17" s="1"/>
  <c r="Q112" i="17"/>
  <c r="Q143" i="17"/>
  <c r="Q136" i="17"/>
  <c r="Z136" i="17" s="1"/>
  <c r="A147" i="16"/>
  <c r="Z147" i="16"/>
  <c r="Z136" i="16"/>
  <c r="Z151" i="16"/>
  <c r="Z142" i="17"/>
  <c r="A142" i="17"/>
  <c r="Z135" i="17"/>
  <c r="A135" i="17"/>
  <c r="Z138" i="16"/>
  <c r="Q54" i="17"/>
  <c r="A54" i="17" s="1"/>
  <c r="Q53" i="17"/>
  <c r="Z53" i="17" s="1"/>
  <c r="Q39" i="17"/>
  <c r="Z39" i="17" s="1"/>
  <c r="Q35" i="17"/>
  <c r="A35" i="17" s="1"/>
  <c r="Q44" i="17"/>
  <c r="Z44" i="17" s="1"/>
  <c r="Q32" i="17"/>
  <c r="A32" i="17" s="1"/>
  <c r="Z40" i="16"/>
  <c r="Z55" i="17"/>
  <c r="Z36" i="16"/>
  <c r="A45" i="16"/>
  <c r="A33" i="16"/>
  <c r="Z45" i="16"/>
  <c r="A55" i="16"/>
  <c r="Z54" i="16"/>
  <c r="A54" i="16"/>
  <c r="Z33" i="16"/>
  <c r="Z55" i="16"/>
  <c r="Q10" i="16"/>
  <c r="Q13" i="16"/>
  <c r="Z13" i="16" s="1"/>
  <c r="Q11" i="16"/>
  <c r="Z11" i="16" s="1"/>
  <c r="Q8" i="16"/>
  <c r="Z8" i="16" s="1"/>
  <c r="AA19" i="16"/>
  <c r="R23" i="16"/>
  <c r="Z19" i="16"/>
  <c r="Q12" i="16"/>
  <c r="Z12" i="16" s="1"/>
  <c r="Q9" i="16"/>
  <c r="Z9" i="16" s="1"/>
  <c r="S23" i="16"/>
  <c r="J23" i="16" s="1"/>
  <c r="Q23" i="16"/>
  <c r="L19" i="16"/>
  <c r="AB23" i="14"/>
  <c r="AA19" i="14"/>
  <c r="AM19" i="14" s="1"/>
  <c r="A36" i="16"/>
  <c r="AD23" i="14"/>
  <c r="I19" i="14"/>
  <c r="J23" i="14"/>
  <c r="Z23" i="14"/>
  <c r="H23" i="14"/>
  <c r="AB19" i="14"/>
  <c r="AN19" i="14" s="1"/>
  <c r="J19" i="14"/>
  <c r="K23" i="14"/>
  <c r="AC23" i="14"/>
  <c r="H12" i="14"/>
  <c r="R12" i="14"/>
  <c r="AA12" i="14" s="1"/>
  <c r="AM12" i="14" s="1"/>
  <c r="R10" i="14"/>
  <c r="AA10" i="14" s="1"/>
  <c r="AM10" i="14" s="1"/>
  <c r="H10" i="14"/>
  <c r="H14" i="14"/>
  <c r="AA14" i="14"/>
  <c r="AM14" i="14" s="1"/>
  <c r="K19" i="14"/>
  <c r="AC19" i="14"/>
  <c r="AO19" i="14" s="1"/>
  <c r="H13" i="14"/>
  <c r="R13" i="14"/>
  <c r="AA13" i="14" s="1"/>
  <c r="AM13" i="14" s="1"/>
  <c r="H11" i="14"/>
  <c r="R11" i="14"/>
  <c r="AA11" i="14" s="1"/>
  <c r="AM11" i="14" s="1"/>
  <c r="H28" i="14"/>
  <c r="Z28" i="14"/>
  <c r="AL28" i="14" s="1"/>
  <c r="H8" i="14"/>
  <c r="R8" i="14"/>
  <c r="AA8" i="14" s="1"/>
  <c r="AM8" i="14" s="1"/>
  <c r="H9" i="14"/>
  <c r="R9" i="14"/>
  <c r="AA9" i="14" s="1"/>
  <c r="AM9" i="14" s="1"/>
  <c r="AA28" i="14"/>
  <c r="AM28" i="14" s="1"/>
  <c r="I28" i="14"/>
  <c r="AD19" i="14"/>
  <c r="AP19" i="14" s="1"/>
  <c r="L19" i="14"/>
  <c r="Z19" i="14"/>
  <c r="AL19" i="14" s="1"/>
  <c r="H19" i="14"/>
  <c r="J28" i="14"/>
  <c r="AB28" i="14"/>
  <c r="AN28" i="14" s="1"/>
  <c r="A69" i="5"/>
  <c r="S23" i="17" a="1"/>
  <c r="R12" i="16" a="1"/>
  <c r="Q12" i="17" a="1"/>
  <c r="R8" i="16" a="1"/>
  <c r="R9" i="16" a="1"/>
  <c r="R10" i="16" a="1"/>
  <c r="Q23" i="17" a="1"/>
  <c r="Q90" i="17" a="1"/>
  <c r="R23" i="17" a="1"/>
  <c r="R11" i="16" a="1"/>
  <c r="Q11" i="17" a="1"/>
  <c r="Q13" i="17" a="1"/>
  <c r="Q8" i="17" a="1"/>
  <c r="Q9" i="17" a="1"/>
  <c r="Q10" i="17" a="1"/>
  <c r="R13" i="16" a="1"/>
  <c r="S11" i="18" l="1"/>
  <c r="AA11" i="18"/>
  <c r="I11" i="18"/>
  <c r="AA10" i="18"/>
  <c r="S10" i="18"/>
  <c r="I10" i="18"/>
  <c r="S8" i="18"/>
  <c r="I8" i="18"/>
  <c r="AA8" i="18"/>
  <c r="I13" i="18"/>
  <c r="AA13" i="18"/>
  <c r="S13" i="18"/>
  <c r="AA12" i="18"/>
  <c r="I12" i="18"/>
  <c r="S12" i="18"/>
  <c r="Q90" i="17"/>
  <c r="Z90" i="17" s="1"/>
  <c r="Z92" i="16"/>
  <c r="H10" i="16"/>
  <c r="Z10" i="16"/>
  <c r="Z86" i="17"/>
  <c r="Z85" i="17"/>
  <c r="Q8" i="17"/>
  <c r="Z8" i="17" s="1"/>
  <c r="H8" i="16"/>
  <c r="Z143" i="17"/>
  <c r="A143" i="17"/>
  <c r="A112" i="17"/>
  <c r="Z112" i="17"/>
  <c r="A113" i="17"/>
  <c r="A144" i="17"/>
  <c r="Z144" i="17"/>
  <c r="Z149" i="17"/>
  <c r="A149" i="17"/>
  <c r="Z117" i="17"/>
  <c r="A117" i="17"/>
  <c r="Z145" i="17"/>
  <c r="A145" i="17"/>
  <c r="A39" i="17"/>
  <c r="Z32" i="17"/>
  <c r="A44" i="17"/>
  <c r="Z35" i="17"/>
  <c r="Z54" i="17"/>
  <c r="AD19" i="16"/>
  <c r="A53" i="17"/>
  <c r="Q11" i="17"/>
  <c r="Z11" i="17" s="1"/>
  <c r="AD19" i="17"/>
  <c r="H19" i="17"/>
  <c r="H14" i="17"/>
  <c r="Q9" i="17"/>
  <c r="Z9" i="17" s="1"/>
  <c r="AC19" i="17"/>
  <c r="Q13" i="17"/>
  <c r="Z13" i="17" s="1"/>
  <c r="Q23" i="17"/>
  <c r="H23" i="17" s="1"/>
  <c r="Q12" i="17"/>
  <c r="Z12" i="17" s="1"/>
  <c r="AB19" i="17"/>
  <c r="R23" i="17"/>
  <c r="I23" i="17" s="1"/>
  <c r="S23" i="17"/>
  <c r="AB23" i="17" s="1"/>
  <c r="AA19" i="17"/>
  <c r="Q10" i="17"/>
  <c r="Z10" i="17" s="1"/>
  <c r="H11" i="16"/>
  <c r="H9" i="16"/>
  <c r="K19" i="16"/>
  <c r="H23" i="16"/>
  <c r="AB19" i="16"/>
  <c r="I23" i="16"/>
  <c r="AB23" i="16"/>
  <c r="I19" i="16"/>
  <c r="J19" i="16"/>
  <c r="AA23" i="16"/>
  <c r="Z23" i="16"/>
  <c r="H12" i="16"/>
  <c r="H13" i="16"/>
  <c r="AC19" i="16"/>
  <c r="R8" i="16"/>
  <c r="AA8" i="16" s="1"/>
  <c r="R11" i="16"/>
  <c r="AA11" i="16" s="1"/>
  <c r="R10" i="16"/>
  <c r="AA10" i="16" s="1"/>
  <c r="R9" i="16"/>
  <c r="AA9" i="16" s="1"/>
  <c r="R13" i="16"/>
  <c r="AA13" i="16" s="1"/>
  <c r="R12" i="16"/>
  <c r="AA12" i="16" s="1"/>
  <c r="Z88" i="16"/>
  <c r="Z86" i="16"/>
  <c r="Z87" i="16"/>
  <c r="I9" i="14"/>
  <c r="S9" i="14"/>
  <c r="AB9" i="14" s="1"/>
  <c r="AN9" i="14" s="1"/>
  <c r="I13" i="14"/>
  <c r="S13" i="14"/>
  <c r="AB13" i="14" s="1"/>
  <c r="AN13" i="14" s="1"/>
  <c r="I11" i="14"/>
  <c r="S11" i="14"/>
  <c r="AB11" i="14" s="1"/>
  <c r="AN11" i="14" s="1"/>
  <c r="I10" i="14"/>
  <c r="S10" i="14"/>
  <c r="AB10" i="14" s="1"/>
  <c r="AN10" i="14" s="1"/>
  <c r="I8" i="14"/>
  <c r="S8" i="14"/>
  <c r="AB8" i="14" s="1"/>
  <c r="AN8" i="14" s="1"/>
  <c r="I14" i="14"/>
  <c r="I12" i="14"/>
  <c r="S12" i="14"/>
  <c r="AB12" i="14" s="1"/>
  <c r="AN12" i="14" s="1"/>
  <c r="S8" i="16" a="1"/>
  <c r="S12" i="16" a="1"/>
  <c r="S10" i="16" a="1"/>
  <c r="S9" i="16" a="1"/>
  <c r="R13" i="17" a="1"/>
  <c r="R9" i="17" a="1"/>
  <c r="S11" i="16" a="1"/>
  <c r="R11" i="17" a="1"/>
  <c r="R12" i="17" a="1"/>
  <c r="R10" i="17" a="1"/>
  <c r="R8" i="17" a="1"/>
  <c r="S13" i="16" a="1"/>
  <c r="H10" i="17" l="1"/>
  <c r="H8" i="17"/>
  <c r="J13" i="18"/>
  <c r="AB13" i="18"/>
  <c r="T13" i="18"/>
  <c r="J8" i="18"/>
  <c r="AB8" i="18"/>
  <c r="T8" i="18"/>
  <c r="T10" i="18"/>
  <c r="AB10" i="18"/>
  <c r="J10" i="18"/>
  <c r="T12" i="18"/>
  <c r="J12" i="18"/>
  <c r="AB12" i="18"/>
  <c r="T11" i="18"/>
  <c r="AB11" i="18"/>
  <c r="J11" i="18"/>
  <c r="H11" i="17"/>
  <c r="K19" i="17"/>
  <c r="L19" i="17"/>
  <c r="H13" i="17"/>
  <c r="J19" i="17"/>
  <c r="I19" i="17"/>
  <c r="Z23" i="17"/>
  <c r="H9" i="17"/>
  <c r="H12" i="17"/>
  <c r="R13" i="17"/>
  <c r="AA13" i="17" s="1"/>
  <c r="R12" i="17"/>
  <c r="AA12" i="17" s="1"/>
  <c r="R8" i="17"/>
  <c r="AA8" i="17" s="1"/>
  <c r="R9" i="17"/>
  <c r="AA9" i="17" s="1"/>
  <c r="R10" i="17"/>
  <c r="AA10" i="17" s="1"/>
  <c r="R11" i="17"/>
  <c r="AA11" i="17" s="1"/>
  <c r="J23" i="17"/>
  <c r="Z19" i="17"/>
  <c r="AA23" i="17"/>
  <c r="I13" i="16"/>
  <c r="I12" i="16"/>
  <c r="I8" i="16"/>
  <c r="Z84" i="17"/>
  <c r="I11" i="16"/>
  <c r="S8" i="16"/>
  <c r="AB8" i="16" s="1"/>
  <c r="S13" i="16"/>
  <c r="AB13" i="16" s="1"/>
  <c r="S11" i="16"/>
  <c r="AB11" i="16" s="1"/>
  <c r="S12" i="16"/>
  <c r="AB12" i="16" s="1"/>
  <c r="S9" i="16"/>
  <c r="AB9" i="16" s="1"/>
  <c r="S10" i="16"/>
  <c r="AB10" i="16" s="1"/>
  <c r="I10" i="16"/>
  <c r="I9" i="16"/>
  <c r="J12" i="14"/>
  <c r="T12" i="14"/>
  <c r="AC12" i="14" s="1"/>
  <c r="AO12" i="14" s="1"/>
  <c r="T10" i="14"/>
  <c r="AC10" i="14" s="1"/>
  <c r="AO10" i="14" s="1"/>
  <c r="J10" i="14"/>
  <c r="J13" i="14"/>
  <c r="T13" i="14"/>
  <c r="AC13" i="14" s="1"/>
  <c r="AO13" i="14" s="1"/>
  <c r="J11" i="14"/>
  <c r="T11" i="14"/>
  <c r="AC11" i="14" s="1"/>
  <c r="AO11" i="14" s="1"/>
  <c r="J9" i="14"/>
  <c r="T9" i="14"/>
  <c r="AC9" i="14" s="1"/>
  <c r="AO9" i="14" s="1"/>
  <c r="J8" i="14"/>
  <c r="T8" i="14"/>
  <c r="AC8" i="14" s="1"/>
  <c r="AO8" i="14" s="1"/>
  <c r="T8" i="16" a="1"/>
  <c r="T13" i="16" a="1"/>
  <c r="T12" i="16" a="1"/>
  <c r="T11" i="16" a="1"/>
  <c r="S12" i="17" a="1"/>
  <c r="S8" i="17" a="1"/>
  <c r="T9" i="16" a="1"/>
  <c r="S9" i="17" a="1"/>
  <c r="T10" i="16" a="1"/>
  <c r="S11" i="17" a="1"/>
  <c r="S13" i="17" a="1"/>
  <c r="S10" i="17" a="1"/>
  <c r="I10" i="17" l="1"/>
  <c r="I9" i="17"/>
  <c r="I8" i="17"/>
  <c r="AC12" i="18"/>
  <c r="K12" i="18"/>
  <c r="AC13" i="18"/>
  <c r="K13" i="18"/>
  <c r="AC11" i="18"/>
  <c r="K11" i="18"/>
  <c r="AC10" i="18"/>
  <c r="K10" i="18"/>
  <c r="AC8" i="18"/>
  <c r="K8" i="18"/>
  <c r="I11" i="17"/>
  <c r="I13" i="17"/>
  <c r="S10" i="17"/>
  <c r="AB10" i="17" s="1"/>
  <c r="S9" i="17"/>
  <c r="AB9" i="17" s="1"/>
  <c r="S11" i="17"/>
  <c r="AB11" i="17" s="1"/>
  <c r="S13" i="17"/>
  <c r="AB13" i="17" s="1"/>
  <c r="S8" i="17"/>
  <c r="AB8" i="17" s="1"/>
  <c r="S12" i="17"/>
  <c r="AB12" i="17" s="1"/>
  <c r="I12" i="17"/>
  <c r="J9" i="16"/>
  <c r="J11" i="16"/>
  <c r="J13" i="16"/>
  <c r="J8" i="16"/>
  <c r="J10" i="16"/>
  <c r="T9" i="16"/>
  <c r="AC9" i="16" s="1"/>
  <c r="T12" i="16"/>
  <c r="AC12" i="16" s="1"/>
  <c r="T11" i="16"/>
  <c r="AC11" i="16" s="1"/>
  <c r="T10" i="16"/>
  <c r="AC10" i="16" s="1"/>
  <c r="T8" i="16"/>
  <c r="T13" i="16"/>
  <c r="J12" i="16"/>
  <c r="K13" i="14"/>
  <c r="K11" i="14"/>
  <c r="K8" i="14"/>
  <c r="K10" i="14"/>
  <c r="K9" i="14"/>
  <c r="K12" i="14"/>
  <c r="T13" i="17" a="1"/>
  <c r="T8" i="17" a="1"/>
  <c r="T11" i="17" a="1"/>
  <c r="T9" i="17" a="1"/>
  <c r="T12" i="17" a="1"/>
  <c r="T10" i="17" a="1"/>
  <c r="J11" i="17" l="1"/>
  <c r="K13" i="16"/>
  <c r="AC13" i="16"/>
  <c r="K8" i="16"/>
  <c r="AC8" i="16"/>
  <c r="J8" i="17"/>
  <c r="J12" i="17"/>
  <c r="J9" i="17"/>
  <c r="J10" i="17"/>
  <c r="T11" i="17"/>
  <c r="AC11" i="17" s="1"/>
  <c r="T13" i="17"/>
  <c r="AC13" i="17" s="1"/>
  <c r="T12" i="17"/>
  <c r="AC12" i="17" s="1"/>
  <c r="T8" i="17"/>
  <c r="AC8" i="17" s="1"/>
  <c r="T9" i="17"/>
  <c r="AC9" i="17" s="1"/>
  <c r="T10" i="17"/>
  <c r="AC10" i="17" s="1"/>
  <c r="K11" i="16"/>
  <c r="J13" i="17"/>
  <c r="K9" i="16"/>
  <c r="K10" i="16"/>
  <c r="K12" i="16"/>
  <c r="K12" i="17" l="1"/>
  <c r="K13" i="17"/>
  <c r="K11" i="17"/>
  <c r="K10" i="17"/>
  <c r="K9" i="17"/>
  <c r="K8" i="17"/>
  <c r="J14" i="17" l="1"/>
  <c r="J14" i="16"/>
  <c r="R14" i="16"/>
  <c r="Q14" i="16" s="1"/>
  <c r="AB14" i="16"/>
  <c r="Z14" i="16" l="1"/>
  <c r="H14" i="16"/>
  <c r="AA14" i="16"/>
  <c r="I14" i="16"/>
  <c r="K14" i="17"/>
  <c r="I14"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100-000001000000}">
      <text>
        <r>
          <rPr>
            <b/>
            <sz val="9"/>
            <color indexed="81"/>
            <rFont val="Tahoma"/>
            <family val="2"/>
          </rPr>
          <t>Nelms, Pam K.:</t>
        </r>
        <r>
          <rPr>
            <sz val="9"/>
            <color indexed="81"/>
            <rFont val="Tahoma"/>
            <family val="2"/>
          </rPr>
          <t xml:space="preserve">
</t>
        </r>
        <r>
          <rPr>
            <b/>
            <sz val="9"/>
            <color indexed="81"/>
            <rFont val="Tahoma"/>
            <family val="2"/>
          </rPr>
          <t xml:space="preserve">Effective January 1 2018: 
General Increase 2.5%; 
Shift Differential and Longevity; 2.5%
Premiums for "B"-rated machines, "C"-rated machines, Class "A"/CDL, Hazmat, Outside Truck, and Confined Space; 2.5% </t>
        </r>
        <r>
          <rPr>
            <sz val="9"/>
            <color indexed="81"/>
            <rFont val="Tahoma"/>
            <family val="2"/>
          </rPr>
          <t xml:space="preserve">
Effective October 14, 2018: 
$0.34 per hour increase to each pair of ASE, EVT and welding certifications. 
Add "Aerial Boom Lift" to "C"-rated machines list
Add "Combination Truck/Trailer over 26,000 lbs. to "Class 'A' Commercial Driver's License (CDL) Special Endorsement Premium" list.
Effective January 1, 2019:
2.5% Increase to all wages, shift differentials, longevity, and all premiums
Effective January 1, 2020:
2.5% Increase to all wages, shift differentials, longevity, and all premiums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300-000001000000}">
      <text>
        <r>
          <rPr>
            <b/>
            <sz val="9"/>
            <color indexed="81"/>
            <rFont val="Tahoma"/>
            <family val="2"/>
          </rPr>
          <t>Nelms, Pam K.:</t>
        </r>
        <r>
          <rPr>
            <sz val="9"/>
            <color indexed="81"/>
            <rFont val="Tahoma"/>
            <family val="2"/>
          </rPr>
          <t xml:space="preserve">
Effective January 1 2018: 
General Increase 2.5%; 
Shift Differential and Longevity; 2.5%
Premiums for "B"-rated machines, "C"-rated machines, Class "A"/CDL, Hazmat, Outside Truck, and Confined Space; 2.5% 
Effective October 14, 2018: 
$0.34 per hour increase to each pair of ASE, EVT and welding certifications. 
Add "Aerial Boom Lift" to "C"-rated machines list
Add "Combination Truck/Trailer over 26,000 lbs. to "Class 'A' Commercial Driver's License (CDL) Special Endorsement Premium" list.
***Effective May 12, 2019:
$0.50 per hour decrease to all job classes, $0.50 per hour increase to the Supplemental Pension contribution.
-as per communication from Laura Davis on 4/30/2019
</t>
        </r>
        <r>
          <rPr>
            <b/>
            <sz val="9"/>
            <color indexed="81"/>
            <rFont val="Tahoma"/>
            <family val="2"/>
          </rPr>
          <t xml:space="preserve">
Effective January 1, 2019:
2.5% Increase to all wages, shift differentials, longevity, and all premiums</t>
        </r>
        <r>
          <rPr>
            <sz val="9"/>
            <color indexed="81"/>
            <rFont val="Tahoma"/>
            <family val="2"/>
          </rPr>
          <t xml:space="preserve">
Effective January 1, 2020:
2.5% Increase to all wages, shift differentials, longevity, and all premiums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400-000001000000}">
      <text>
        <r>
          <rPr>
            <b/>
            <sz val="9"/>
            <color indexed="81"/>
            <rFont val="Tahoma"/>
            <family val="2"/>
          </rPr>
          <t>Nelms, Pam K.:</t>
        </r>
        <r>
          <rPr>
            <sz val="9"/>
            <color indexed="81"/>
            <rFont val="Tahoma"/>
            <family val="2"/>
          </rPr>
          <t xml:space="preserve">
Effective January 1 2018: 
General Increase 2.5%; 
Shift Differential and Longevity; 2.5%
Premiums for "B"-rated machines, "C"-rated machines, Class "A"/CDL, Hazmat, Outside Truck, and Confined Space; 2.5% 
Effective October 14, 2018: 
$0.34 per hour increase to each pair of ASE, EVT and welding certifications. 
Add "Aerial Boom Lift" to "C"-rated machines list
Add "Combination Truck/Trailer over 26,000 lbs. to "Class 'A' Commercial Driver's License (CDL) Special Endorsement Premium" list.
***Effective May 12, 2019:
$0.50 per hour decrease to all job classes, $0.50 per hour increase to the Supplemental Pension contribution.
-as per communication from Laura Davis on 4/30/2019
</t>
        </r>
        <r>
          <rPr>
            <b/>
            <sz val="9"/>
            <color indexed="81"/>
            <rFont val="Tahoma"/>
            <family val="2"/>
          </rPr>
          <t xml:space="preserve">
Effective January 1, 2019:
2.5% Increase to all wages, shift differentials, longevity, and all premiums</t>
        </r>
        <r>
          <rPr>
            <sz val="9"/>
            <color indexed="81"/>
            <rFont val="Tahoma"/>
            <family val="2"/>
          </rPr>
          <t xml:space="preserve">
Effective January 1, 2020:
2.5% Increase to all wages, shift differentials, longevity, and all premiums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T14" authorId="0" shapeId="0" xr:uid="{AF725951-ECFB-449D-97D4-7B2DE98CD947}">
      <text>
        <r>
          <rPr>
            <sz val="9"/>
            <color indexed="81"/>
            <rFont val="Tahoma"/>
            <family val="2"/>
          </rPr>
          <t xml:space="preserve">2024 Maintenance Crew Leader Rate (CLB) x 103%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Q14" authorId="0" shapeId="0" xr:uid="{18420787-06E8-41F4-A0E4-A09E9DDD3939}">
      <text>
        <r>
          <rPr>
            <sz val="9"/>
            <color indexed="81"/>
            <rFont val="Tahoma"/>
            <family val="2"/>
          </rPr>
          <t>3% less than Step 2</t>
        </r>
      </text>
    </comment>
    <comment ref="R14" authorId="0" shapeId="0" xr:uid="{B1B85AE7-457F-4692-A726-ABAEDD29D436}">
      <text>
        <r>
          <rPr>
            <sz val="9"/>
            <color indexed="81"/>
            <rFont val="Tahoma"/>
            <family val="2"/>
          </rPr>
          <t>3% less than Step 3</t>
        </r>
      </text>
    </comment>
    <comment ref="S14" authorId="0" shapeId="0" xr:uid="{738AD9EA-DEA1-4F99-ACA0-03518CFEA9A6}">
      <text>
        <r>
          <rPr>
            <sz val="9"/>
            <color indexed="81"/>
            <rFont val="Tahoma"/>
            <family val="2"/>
          </rPr>
          <t xml:space="preserve">3% less than Step 4
</t>
        </r>
      </text>
    </comment>
    <comment ref="T14" authorId="0" shapeId="0" xr:uid="{F7AF3636-31EE-4B5F-8F9D-DBDF4C580413}">
      <text>
        <r>
          <rPr>
            <sz val="9"/>
            <color indexed="81"/>
            <rFont val="Tahoma"/>
            <family val="2"/>
          </rPr>
          <t xml:space="preserve">2025 Mainteance Crew Leader (CLB) rate x 103%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Q14" authorId="0" shapeId="0" xr:uid="{F5F80B88-CFCE-49A4-A8E1-5B93645C2899}">
      <text>
        <r>
          <rPr>
            <sz val="9"/>
            <color indexed="81"/>
            <rFont val="Tahoma"/>
            <family val="2"/>
          </rPr>
          <t>3% less than Step 2</t>
        </r>
      </text>
    </comment>
    <comment ref="R14" authorId="0" shapeId="0" xr:uid="{0FFBC3F8-324C-45EF-AB92-F9173849DACB}">
      <text>
        <r>
          <rPr>
            <sz val="9"/>
            <color indexed="81"/>
            <rFont val="Tahoma"/>
            <family val="2"/>
          </rPr>
          <t>3% less than Step 3</t>
        </r>
      </text>
    </comment>
    <comment ref="S14" authorId="0" shapeId="0" xr:uid="{FE6B768F-AC41-41CF-887F-7B1A1FAFCAF3}">
      <text>
        <r>
          <rPr>
            <sz val="9"/>
            <color indexed="81"/>
            <rFont val="Tahoma"/>
            <family val="2"/>
          </rPr>
          <t xml:space="preserve">3% less than Step 4
</t>
        </r>
      </text>
    </comment>
    <comment ref="T14" authorId="0" shapeId="0" xr:uid="{7F2F6D7C-A1C8-4048-8907-27C61D483893}">
      <text>
        <r>
          <rPr>
            <sz val="9"/>
            <color indexed="81"/>
            <rFont val="Tahoma"/>
            <family val="2"/>
          </rPr>
          <t xml:space="preserve">Maintenance Crew Leader (CLB) rate x 103%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<sst xmlns="http://schemas.openxmlformats.org/spreadsheetml/2006/main" count="4706" uniqueCount="479">
  <si>
    <t>International Union of Operating Engineers, Local 49 (CEQ)</t>
  </si>
  <si>
    <t>Effective  January 8, 2017</t>
  </si>
  <si>
    <t>FLSA</t>
  </si>
  <si>
    <t>OTC</t>
  </si>
  <si>
    <t>Job Code</t>
  </si>
  <si>
    <t>Classification</t>
  </si>
  <si>
    <t>Pts</t>
  </si>
  <si>
    <t>Grade</t>
  </si>
  <si>
    <t>P</t>
  </si>
  <si>
    <t>6- month rate</t>
  </si>
  <si>
    <t>Step 1</t>
  </si>
  <si>
    <t>N</t>
  </si>
  <si>
    <t>01180C</t>
  </si>
  <si>
    <t>Automotive Mechanic</t>
  </si>
  <si>
    <t>H</t>
  </si>
  <si>
    <t>04160C</t>
  </si>
  <si>
    <t>Equipment Repair Coordinator</t>
  </si>
  <si>
    <t>04520C</t>
  </si>
  <si>
    <t>Foreman Auto Mechanic</t>
  </si>
  <si>
    <t>04820C</t>
  </si>
  <si>
    <t>Foreman Paving Products Plant</t>
  </si>
  <si>
    <t>07115C</t>
  </si>
  <si>
    <t>Metal Fabrication &amp; Welding Specialist</t>
  </si>
  <si>
    <t>10960C</t>
  </si>
  <si>
    <t>Welder,Shop</t>
  </si>
  <si>
    <t>08569C</t>
  </si>
  <si>
    <t>Public Works Service Worker 2</t>
  </si>
  <si>
    <t>N/A</t>
  </si>
  <si>
    <t>02624C</t>
  </si>
  <si>
    <t>PWSW2 Apprentice Program for  PWSW1's</t>
  </si>
  <si>
    <t/>
  </si>
  <si>
    <t>0-1000 hours (= max base PWSWI)</t>
  </si>
  <si>
    <t>1001-2000 hours</t>
  </si>
  <si>
    <t>2001-3000 hours</t>
  </si>
  <si>
    <t>3001-4000 hours</t>
  </si>
  <si>
    <t>After 4000 hours</t>
  </si>
  <si>
    <t>02622C</t>
  </si>
  <si>
    <t>PWSW2 Apprentice Program for MCL's</t>
  </si>
  <si>
    <t>0-1000 hours (= max base MCL)</t>
  </si>
  <si>
    <t>Winter Work Reserve Pool</t>
  </si>
  <si>
    <t>02526C</t>
  </si>
  <si>
    <t>PWSW2 - WU Shop</t>
  </si>
  <si>
    <t xml:space="preserve"> A Supplemental Pension contribution of one dollar ($1.00) per hour for all hours paid will be made to the Central Pension Fund. </t>
  </si>
  <si>
    <r>
      <rPr>
        <b/>
        <sz val="10"/>
        <rFont val="Calibri"/>
        <family val="2"/>
        <scheme val="minor"/>
      </rPr>
      <t>Provided that</t>
    </r>
    <r>
      <rPr>
        <sz val="10"/>
        <rFont val="Calibri"/>
        <family val="2"/>
        <scheme val="minor"/>
      </rPr>
      <t xml:space="preserve"> new employees hired into classifications with six-month rates shall remain in the six-month rate for six  </t>
    </r>
  </si>
  <si>
    <t>calendar months.</t>
  </si>
  <si>
    <r>
      <rPr>
        <b/>
        <sz val="10"/>
        <rFont val="Calibri"/>
        <family val="2"/>
        <scheme val="minor"/>
      </rPr>
      <t>Provided that</t>
    </r>
    <r>
      <rPr>
        <sz val="10"/>
        <rFont val="Calibri"/>
        <family val="2"/>
        <scheme val="minor"/>
      </rPr>
      <t xml:space="preserve"> the employee(s) officially designated as a full-time Training Coordinator shall receive a premium equal</t>
    </r>
  </si>
  <si>
    <t>to the highest skill-based premium for which the employee is certified to operate.</t>
  </si>
  <si>
    <r>
      <rPr>
        <b/>
        <sz val="10"/>
        <rFont val="Calibri"/>
        <family val="2"/>
        <scheme val="minor"/>
      </rPr>
      <t>Provided that</t>
    </r>
    <r>
      <rPr>
        <sz val="10"/>
        <rFont val="Calibri"/>
        <family val="2"/>
        <scheme val="minor"/>
      </rPr>
      <t xml:space="preserve"> when Public Works Service Worker 2's are assigned to work on </t>
    </r>
    <r>
      <rPr>
        <b/>
        <sz val="10"/>
        <rFont val="Calibri"/>
        <family val="2"/>
        <scheme val="minor"/>
      </rPr>
      <t>"B" rated machines</t>
    </r>
    <r>
      <rPr>
        <sz val="10"/>
        <rFont val="Calibri"/>
        <family val="2"/>
        <scheme val="minor"/>
      </rPr>
      <t>: Crawler Hoe,</t>
    </r>
  </si>
  <si>
    <t xml:space="preserve">Paver (Blaw Knox &amp; Gilcrest), Brokk, or Curb Machine, they shall be paid a premium of </t>
  </si>
  <si>
    <t>per hour for all hours on the equipment.</t>
  </si>
  <si>
    <r>
      <rPr>
        <b/>
        <sz val="10"/>
        <rFont val="Calibri"/>
        <family val="2"/>
        <scheme val="minor"/>
      </rPr>
      <t>Provided that</t>
    </r>
    <r>
      <rPr>
        <sz val="10"/>
        <rFont val="Calibri"/>
        <family val="2"/>
        <scheme val="minor"/>
      </rPr>
      <t xml:space="preserve"> when Public Works Service Worker 2's are assigned on work on</t>
    </r>
    <r>
      <rPr>
        <b/>
        <sz val="10"/>
        <rFont val="Calibri"/>
        <family val="2"/>
        <scheme val="minor"/>
      </rPr>
      <t xml:space="preserve"> "C" Rated machines</t>
    </r>
    <r>
      <rPr>
        <sz val="10"/>
        <rFont val="Calibri"/>
        <family val="2"/>
        <scheme val="minor"/>
      </rPr>
      <t>: Cable Crane, Boom Truck, Snooper,</t>
    </r>
  </si>
  <si>
    <t xml:space="preserve">Hydraulic Boom Crane (Carry Deck), or Boring Machine, they shall be paid a premium of </t>
  </si>
  <si>
    <r>
      <rPr>
        <b/>
        <u/>
        <sz val="10"/>
        <rFont val="Calibri"/>
        <family val="2"/>
        <scheme val="minor"/>
      </rPr>
      <t>CLASS "A" Commercial Driver's License or CDL Special Endorsement Premiu</t>
    </r>
    <r>
      <rPr>
        <b/>
        <sz val="10"/>
        <rFont val="Calibri"/>
        <family val="2"/>
        <scheme val="minor"/>
      </rPr>
      <t>m</t>
    </r>
  </si>
  <si>
    <t>per hour shall be paid</t>
  </si>
  <si>
    <t>to all employees when performing a work assignment requiring a Class "A" Commercial Driver's License (CDL) or CDL Special endorsement</t>
  </si>
  <si>
    <t>(Liquid Asphalt Distributor, Flusher, Fuel Truck, Low Boy)</t>
  </si>
  <si>
    <t>HAZ-MAT Certification:</t>
  </si>
  <si>
    <r>
      <rPr>
        <b/>
        <sz val="10"/>
        <rFont val="Calibri"/>
        <family val="2"/>
        <scheme val="minor"/>
      </rPr>
      <t>Provided that</t>
    </r>
    <r>
      <rPr>
        <sz val="10"/>
        <rFont val="Calibri"/>
        <family val="2"/>
        <scheme val="minor"/>
      </rPr>
      <t xml:space="preserve">, in its sold discretion, the Employer may identify up to 8 Automotive Mechanics and all employee's in the positions </t>
    </r>
  </si>
  <si>
    <t xml:space="preserve">of Plant Repair Worker, Plant Operator, and Blacksmith to receive an additional </t>
  </si>
  <si>
    <t xml:space="preserve"> per hour for attaining and maintaining a valid HAZ-MAT certification.  Opportunities for attaining certification </t>
  </si>
  <si>
    <t>shall be offered on a seniority basis.  Once certified, eligible employees may be assigned to job sits at the discretion</t>
  </si>
  <si>
    <t xml:space="preserve">of the Employer.  Such assignments shall not replace their permanent assignment.  Beginning with the equipment </t>
  </si>
  <si>
    <t>bid in May, 2003, Mechanics assigned the outside truck shall be required to be Haz-Mat certified.  Employees receiving</t>
  </si>
  <si>
    <t>this premium shall not be eligible for the hourly premiums in section "b".</t>
  </si>
  <si>
    <t>Employees certified and assigned to wear OSHA personal protective equipment, excepting PWSW'2s, shall receive the</t>
  </si>
  <si>
    <t xml:space="preserve"> following premiums for all hours actually worked:</t>
  </si>
  <si>
    <t xml:space="preserve">Level A (as defined by OSHA) - </t>
  </si>
  <si>
    <t>per hour</t>
  </si>
  <si>
    <t xml:space="preserve">Level B (as defined by OSHA) - </t>
  </si>
  <si>
    <t xml:space="preserve">Level C (as defined by OSHA) - </t>
  </si>
  <si>
    <t>WELDING Certification:</t>
  </si>
  <si>
    <t>* The Employer may identify up to 2 Core and 2 Supplemental welding certifications</t>
  </si>
  <si>
    <t>* Each Welder, Metal Fabrication Specialist, Plant Repair Worker and Plant Operator shall be eligible for an additional</t>
  </si>
  <si>
    <t>per hour for attaining and maintaining each of the 2 Core certifications.</t>
  </si>
  <si>
    <t xml:space="preserve">* Each Welder, Metal Fabrication Specialist and Plant Repair Worker shall be eligible for an additional </t>
  </si>
  <si>
    <t>for attaining and maintaining each of the 2 Supplemental certifications.</t>
  </si>
  <si>
    <t>* For supplemental certifications, the Employer shall identify the number of employees it needs certified</t>
  </si>
  <si>
    <t xml:space="preserve">* In order of seniority, employees, up to the number identified by the Employer, shall be compensated an additional  </t>
  </si>
  <si>
    <t>per hour for each certification attained and maintained</t>
  </si>
  <si>
    <t>ASE Certification:</t>
  </si>
  <si>
    <t>Wage Adjustment</t>
  </si>
  <si>
    <t xml:space="preserve">Eligible jobs: Auto Mechanic, Auto Mechanic/Auto Body, Foreman Auto Mechanic &amp; Equipment Repair Coordinator  </t>
  </si>
  <si>
    <t>"A":</t>
  </si>
  <si>
    <t>ASE "A"</t>
  </si>
  <si>
    <t>/hour</t>
  </si>
  <si>
    <t xml:space="preserve">If an employee shows proof of successfully passing any two (2) of the following tests provided and </t>
  </si>
  <si>
    <t xml:space="preserve">administered by the National Institute for Automotive Service Excellence (ASE), Medium/Heavy </t>
  </si>
  <si>
    <t>Truck or Automobile Technician tests, such employee shall be eligible for a wage adjustment.</t>
  </si>
  <si>
    <t>"B":</t>
  </si>
  <si>
    <t>ASE "B"</t>
  </si>
  <si>
    <t>If an employee shows proof of successfully passing any four (4) of the following tests provided and administered</t>
  </si>
  <si>
    <t xml:space="preserve">by the National Institute for Automotive Service Excellence (ASE), such employee shall be eligible </t>
  </si>
  <si>
    <t>for a wage adjustment.</t>
  </si>
  <si>
    <t>"C":</t>
  </si>
  <si>
    <t>ASE "C"</t>
  </si>
  <si>
    <t xml:space="preserve">If an employee shows proof of successfully passing any six (6) of the following tests provided and administered </t>
  </si>
  <si>
    <t>"D":</t>
  </si>
  <si>
    <t>ASE "D"</t>
  </si>
  <si>
    <t xml:space="preserve">If an employee shows proof of successfully passing any eight (8) of the following tests provided and administered </t>
  </si>
  <si>
    <t>by the National Institute for Automotive Service Excellence (ASE), such employee shall be eligible</t>
  </si>
  <si>
    <t xml:space="preserve"> for a wage adjustment.</t>
  </si>
  <si>
    <t xml:space="preserve">Effective November 1, 2013,  the Employer will add the Emergency Vehicle Technician Certifications (6) to the ASE Certification List.  </t>
  </si>
  <si>
    <t xml:space="preserve">The premium will be added to the base pay in bundles of two (2) with need (number &amp; type) determined by Director of Fleet Services; To be pay eligible the </t>
  </si>
  <si>
    <t xml:space="preserve">certifications must lead to Level I, II or Master Level III certification.  Pay will be for up to three (3) bundles the same as ASE certification.  If more employees </t>
  </si>
  <si>
    <t>indicate the desire to become qualified than the number needed, seniority will determine the actual employees eligible for certification and compensation.</t>
  </si>
  <si>
    <t>Thes EVT Certification bundles are shown in ASE Categories "E", "F" and "G", below.</t>
  </si>
  <si>
    <t>"E":</t>
  </si>
  <si>
    <t>ASE "E"</t>
  </si>
  <si>
    <t xml:space="preserve">If an employee shows proof of successfully passing any ten (10) of the following tests provided and administered </t>
  </si>
  <si>
    <t>"F":</t>
  </si>
  <si>
    <t>ASE "F"</t>
  </si>
  <si>
    <t xml:space="preserve">If an employee shows proof of successfully passing any twelve (12) of the following tests provided and administered </t>
  </si>
  <si>
    <t>`</t>
  </si>
  <si>
    <t>"G":</t>
  </si>
  <si>
    <t>ASE "G"</t>
  </si>
  <si>
    <t xml:space="preserve">If an employee shows proof of successfully passing any Fourteen (14) of the following tests provided and administered </t>
  </si>
  <si>
    <t>T1 – Gasoline Engines</t>
  </si>
  <si>
    <t>A1 – Engine Repair</t>
  </si>
  <si>
    <t>T2 – Diesel Engines</t>
  </si>
  <si>
    <t>A2 – Automatic Transmission/Transaxle</t>
  </si>
  <si>
    <t>T3 – Drive Train</t>
  </si>
  <si>
    <t xml:space="preserve">A3 – Manual Drive Train </t>
  </si>
  <si>
    <t>T4 – Brakes</t>
  </si>
  <si>
    <t>A4 – Suspension and Steering</t>
  </si>
  <si>
    <t>T5 – Suspension and Steering</t>
  </si>
  <si>
    <t>A5 – Brakes</t>
  </si>
  <si>
    <t>T6 – Electrical/Electronic Systems</t>
  </si>
  <si>
    <t>A6 – Electrical/Electronic Systems</t>
  </si>
  <si>
    <t>T7 – Heating and Air Conditioning</t>
  </si>
  <si>
    <t>A7 – Heating and Air Conditioning</t>
  </si>
  <si>
    <t>T8 – Preventive Maintenance Inspection (PMI)</t>
  </si>
  <si>
    <t>A8 – Engine Performance</t>
  </si>
  <si>
    <t>F-1 Inspection &amp; Maintenance of Fire Apparatus</t>
  </si>
  <si>
    <t>F-4 Electrical Systems</t>
  </si>
  <si>
    <t>F-2  Design &amp; Performance of Fire Apparatus</t>
  </si>
  <si>
    <t>F-5 Aerial Fire Apparatus</t>
  </si>
  <si>
    <t>F-3 Fire Pumps and Accessories</t>
  </si>
  <si>
    <t>F-6 Allison Automatic Transmissions</t>
  </si>
  <si>
    <t>L-1 Law Enforcement Vehicle Installation</t>
  </si>
  <si>
    <t>* IUOE member must keep ratings current and must advise the City of any  change in status.</t>
  </si>
  <si>
    <t xml:space="preserve">*City will pay the registration fee for all IUOE members and will reimburse IUOE members the </t>
  </si>
  <si>
    <t>testing fee for each test successfully completed.</t>
  </si>
  <si>
    <t>* City will purchase and provide a library for all IUOE members of all agreed upon study materials.</t>
  </si>
  <si>
    <t>* IUOE members will study for the test on their own time.</t>
  </si>
  <si>
    <t>* If tests are only offered during an employee’s regularly scheduled shift, they shall test on City time.</t>
  </si>
  <si>
    <t>* Automotive Mechanics shall not be required to have ASE certifications.</t>
  </si>
  <si>
    <t>* Recognize DOT certification equals 2 ASE certifications.</t>
  </si>
  <si>
    <t>OUTSIDE TRUCK PREMIUM:</t>
  </si>
  <si>
    <t xml:space="preserve">Provided that Automotive Mechanics regularly assigned and working on an "outside truck" shall be paid a premium of  </t>
  </si>
  <si>
    <t xml:space="preserve">per hour on all </t>
  </si>
  <si>
    <t xml:space="preserve">compensated hours.  Automotive Mechanics temporarily assigned on an “outside truck” shall be paid a premium of  </t>
  </si>
  <si>
    <t>per hour for hours</t>
  </si>
  <si>
    <t xml:space="preserve"> worked.</t>
  </si>
  <si>
    <t>CONFINED SPACE ENTRY:</t>
  </si>
  <si>
    <t>Employees working in the classifications of Mechanic, Blacksmith/Welder, Plant Repair Worker, and/or  Plant Operator shall be paid a premium of</t>
  </si>
  <si>
    <t xml:space="preserve">per hour for all hours worked where a “spotter” or a harness  is required to perform the job in a safe manner.  </t>
  </si>
  <si>
    <t>A Foreman, Supervisor or Fire Department employee trained in Confined Space Entry shall establish the requirement and secure the necessary permits.</t>
  </si>
  <si>
    <t>Time shall be calculated with a on-hour minimum and half-hour increments thereafter.</t>
  </si>
  <si>
    <t>CRANE CERTIFICATION:</t>
  </si>
  <si>
    <t xml:space="preserve">While there shall not be any premium paid to PWSW2's for the attainment or maintenance of a crane certification, the City will: </t>
  </si>
  <si>
    <t>1) pay the registration fee for all IUOE members and will reimburse IUOE members the testing fee for each test successfully completed and one failed test.</t>
  </si>
  <si>
    <t>2) City will purchase and provide a library for all IUOE members of all agreed upon study materials.</t>
  </si>
  <si>
    <t>3) IUOE members will study for the test on their own time.</t>
  </si>
  <si>
    <t>4) If tests are only offered during an employee’s regularly scheduled shift, they shall test on City time.</t>
  </si>
  <si>
    <t>5) Construction Equipment Operators shall not be required to have CCO certifications.</t>
  </si>
  <si>
    <t>6) IUOE member must keep certification current and must advise the City of any  change in status.</t>
  </si>
  <si>
    <t>Coveralls</t>
  </si>
  <si>
    <t>Coveralls shall be provided to the PWSW2 regularly assigned to the Fridley Water Yard.</t>
  </si>
  <si>
    <t>Shift Differential</t>
  </si>
  <si>
    <t xml:space="preserve">Provided that all employees WHO ACTUALLY WORK the night or weekend shift, they shall be paid a night/weekend shift differential of  </t>
  </si>
  <si>
    <t xml:space="preserve">per hour for all hours worked on the qualified shift, including overtime hours worked immediately adjacent to the qualified shift.   </t>
  </si>
  <si>
    <t>Longevity</t>
  </si>
  <si>
    <t xml:space="preserve">Provided that employees shall receive the following longevity:  </t>
  </si>
  <si>
    <t>These payments shall be based on a maximum of 80 hours biweekly:</t>
  </si>
  <si>
    <t>cents per hour additional at the beginning of the 10th year of service</t>
  </si>
  <si>
    <t>cents per hour additional at the beginning of the 15th year of service</t>
  </si>
  <si>
    <t>cents per hour additional at the beginning of the 20th year of service</t>
  </si>
  <si>
    <t>cents per hour additional at the beginning of the 25th year of service</t>
  </si>
  <si>
    <t>Training Premium</t>
  </si>
  <si>
    <t xml:space="preserve">In its sole discretion, the Employer may assign an employee to train other employees. Without regard to the training topic, </t>
  </si>
  <si>
    <t xml:space="preserve">a training premium of $3.036 per hour for all hours shall be paid.  </t>
  </si>
  <si>
    <r>
      <t xml:space="preserve">Safety Shoes: </t>
    </r>
    <r>
      <rPr>
        <sz val="10"/>
        <rFont val="Calibri"/>
        <family val="2"/>
        <scheme val="minor"/>
      </rPr>
      <t>Effective 1/1/2016 safety shoes reimbursement was discontinued as the dollars for the program are now included within the hourly wage shown above.</t>
    </r>
  </si>
  <si>
    <t>Effective  January 1, 2018</t>
  </si>
  <si>
    <t>FLSA/OTC</t>
  </si>
  <si>
    <t>N/2</t>
  </si>
  <si>
    <t>Sal Grd</t>
  </si>
  <si>
    <t>Step 2</t>
  </si>
  <si>
    <t>Step 3</t>
  </si>
  <si>
    <t>Step 4</t>
  </si>
  <si>
    <t>Step 5</t>
  </si>
  <si>
    <t>03</t>
  </si>
  <si>
    <t>6- month rate (Step 11)</t>
  </si>
  <si>
    <t>05</t>
  </si>
  <si>
    <t>07</t>
  </si>
  <si>
    <t>12</t>
  </si>
  <si>
    <t>20</t>
  </si>
  <si>
    <t>22</t>
  </si>
  <si>
    <t>35</t>
  </si>
  <si>
    <t>Effective  October 14, 2018</t>
  </si>
  <si>
    <r>
      <t xml:space="preserve">Safety Shoes: </t>
    </r>
    <r>
      <rPr>
        <sz val="10"/>
        <rFont val="Calibri"/>
        <family val="2"/>
        <scheme val="minor"/>
      </rPr>
      <t>Effective 1/1/2016 safety shoes reimbursement was discontinued as the dollars for the program are now included within the hourly wages.</t>
    </r>
  </si>
  <si>
    <r>
      <t xml:space="preserve">Safety Shoes: </t>
    </r>
    <r>
      <rPr>
        <sz val="10"/>
        <rFont val="Calibri"/>
        <family val="2"/>
        <scheme val="minor"/>
      </rPr>
      <t>Effective 1/1/2016 safety shoes reimbursement was discontinued as the dollars for the program are now included within the hourly wages..</t>
    </r>
  </si>
  <si>
    <t>Effective  January 1, 2019</t>
  </si>
  <si>
    <t xml:space="preserve">a training premium of $3.112 per hour for all hours shall be paid.  </t>
  </si>
  <si>
    <t>Effective  January 1, 2020</t>
  </si>
  <si>
    <t xml:space="preserve">a training premium of $3.190 per hour for all hours shall be paid.  </t>
  </si>
  <si>
    <t>per hour for each certification group "A" thorough "G" attained and maintained.</t>
  </si>
  <si>
    <t>per hour for each certification group "A" thorough "D" attained and maintained.</t>
  </si>
  <si>
    <t>If an employee shows proof of successfully passing any four (4) of the ASE tests:</t>
  </si>
  <si>
    <t>If an employee shows proof of successfully passing any six (6) of the ASE tests:</t>
  </si>
  <si>
    <t>If an employee shows proof of successfully passing any eight (8) of the ASE tests:</t>
  </si>
  <si>
    <t>EVT Certification:</t>
  </si>
  <si>
    <t xml:space="preserve">EVT: Emergency Vehicle Technician Certifications held in addition to the ASE Certification List.  </t>
  </si>
  <si>
    <t>If an employee shows proof of successfully passing any ten (10) of the ASE tests:</t>
  </si>
  <si>
    <t>If an employee shows proof of successfully passing any twelve (12) of the ASE tests:</t>
  </si>
  <si>
    <t>Welder, Shop</t>
  </si>
  <si>
    <t>(Liquid Asphalt Distributor, Flusher, Fuel Truck, Low Boy, Combination Truck/Trailer over 26,000 lbs.)</t>
  </si>
  <si>
    <t>These EVT Certification bundles are shown in ASE Categories "E", "F" and "G", below.</t>
  </si>
  <si>
    <t xml:space="preserve">Employees shall receive the following longevity:  </t>
  </si>
  <si>
    <t xml:space="preserve">Employees who work shifts that have a regular starting time between 12:00 p.m. (noon) and 6:00 a.m. or for all work shifts that have a regular </t>
  </si>
  <si>
    <t>schedule that includes a Saturday or Sunday shall be paid a night/weekend shift differential of  $1.384 per hour for all hours worked on the qualified shift,</t>
  </si>
  <si>
    <t xml:space="preserve">including overtime hours worked immediately adjacent to the qualified shift. The differentials shall be applied to all compensated hours paid to the employee </t>
  </si>
  <si>
    <t>regularly assigned to the shift. “Regular” is defined as continuously assigned for two or more consecutive weeks.</t>
  </si>
  <si>
    <t>schedule that includes a Saturday or Sunday shall be paid a night/weekend shift differential of  $1.419 per hour for all hours worked on the qualified shift,</t>
  </si>
  <si>
    <t>schedule that includes a Saturday or Sunday shall be paid a night/weekend shift differential of  $1.454 per hour for all hours worked on the qualified shift,</t>
  </si>
  <si>
    <t xml:space="preserve">A Supplemental Pension contribution of one dollar ($1.00) per hour for all hours paid will be made to the Central Pension Fund. </t>
  </si>
  <si>
    <t xml:space="preserve">New employees hired into classifications with six-month rates shall remain in the six-month rate for six  </t>
  </si>
  <si>
    <t>Employee(s) officially designated as a full-time Training Coordinator shall receive a premium equal</t>
  </si>
  <si>
    <t xml:space="preserve">In its sold discretion, the Employer may identify up to 8 Automotive Mechanics and all employee's in the positions </t>
  </si>
  <si>
    <t xml:space="preserve">Automotive Mechanics regularly assigned and working on an "outside truck" shall be paid a premium of  </t>
  </si>
  <si>
    <r>
      <t xml:space="preserve">When Public Works Service Worker 2's are assigned to work on </t>
    </r>
    <r>
      <rPr>
        <b/>
        <sz val="10"/>
        <rFont val="Calibri"/>
        <family val="2"/>
        <scheme val="minor"/>
      </rPr>
      <t>"B" rated machines</t>
    </r>
    <r>
      <rPr>
        <sz val="10"/>
        <rFont val="Calibri"/>
        <family val="2"/>
        <scheme val="minor"/>
      </rPr>
      <t>: Crawler Hoe,</t>
    </r>
  </si>
  <si>
    <r>
      <t>When Public Works Service Worker 2's are assigned on work on</t>
    </r>
    <r>
      <rPr>
        <b/>
        <sz val="10"/>
        <rFont val="Calibri"/>
        <family val="2"/>
        <scheme val="minor"/>
      </rPr>
      <t xml:space="preserve"> "C" Rated machines</t>
    </r>
    <r>
      <rPr>
        <sz val="10"/>
        <rFont val="Calibri"/>
        <family val="2"/>
        <scheme val="minor"/>
      </rPr>
      <t>: Cable Crane, Boom Truck, Snooper, Ariel Boom Lift</t>
    </r>
  </si>
  <si>
    <r>
      <t>When Public Works Service Worker 2's are assigned on work on</t>
    </r>
    <r>
      <rPr>
        <b/>
        <sz val="10"/>
        <rFont val="Calibri"/>
        <family val="2"/>
        <scheme val="minor"/>
      </rPr>
      <t xml:space="preserve"> "C" Rated machines</t>
    </r>
    <r>
      <rPr>
        <sz val="10"/>
        <rFont val="Calibri"/>
        <family val="2"/>
        <scheme val="minor"/>
      </rPr>
      <t>: Cable Crane, Boom Truck, Snooper, Aerial Boom Lift</t>
    </r>
  </si>
  <si>
    <t>When Public Works Service Worker 2's are assigned on work on "C" Rated machines: Cable Crane, Boom Truck, Snooper, Aerial Boom Lift</t>
  </si>
  <si>
    <t>CLASS "A" Commercial Driver's License (CDL) Special Endorsement Premium</t>
  </si>
  <si>
    <t xml:space="preserve">to all employees while operating a Class "A" - combination vehicle as defined by Federal DOT regulations. </t>
  </si>
  <si>
    <t>If an employee shows proof of successfully passing any fourteen (14) of the ASE tests:</t>
  </si>
  <si>
    <t xml:space="preserve">A Supplemental Pension contribution of one dollar ($1.50) per hour for all hours paid will be made to the Central Pension Fund. </t>
  </si>
  <si>
    <t>Effective  May 12, 2019</t>
  </si>
  <si>
    <t>3) Employees will study for the test on their own time.</t>
  </si>
  <si>
    <t>6) Employees must keep certification current and must advise the City of any  change in status.</t>
  </si>
  <si>
    <t>* Employees must keep ratings current and must advise the City of any  change in status.</t>
  </si>
  <si>
    <t>*Employees will study for the test on their own time.</t>
  </si>
  <si>
    <t>1) Pay the registration fee for all IUOE members and will reimburse IUOE members the testing fee for each test successfully completed and one failed test.</t>
  </si>
  <si>
    <t>* Employees will study for the test on their own time.</t>
  </si>
  <si>
    <t>Brenda Miller</t>
  </si>
  <si>
    <t>Completed audit of 5/12/19 rates to PS rates</t>
  </si>
  <si>
    <t xml:space="preserve">A Supplemental Pension contribution of one dollar and fifty cents ($1.50) per hour for all hours paid will be made to the Central Pension Fund. </t>
  </si>
  <si>
    <t>On sheets 5/12/19 and 1/1/20, corrected "A Supplemental Pension contribution of one dollar ($1.50) per hour for all hours paid will be made to the Central Pension Fund." to "A Supplemental Pension contribution of one dollar and fifty cents ($1.50) per hour for all hours paid will be made to the Central Pension Fund."</t>
  </si>
  <si>
    <t>Fleet Equipment Repair Coordinator</t>
  </si>
  <si>
    <t xml:space="preserve">52930C </t>
  </si>
  <si>
    <t>Added Fleet Equipment Repair Coordinator to 5/12/19 and 1/1/20. Should have been on schedule 4/4/2019.</t>
  </si>
  <si>
    <t>Sanitation Equipment Repair Coordinator</t>
  </si>
  <si>
    <t>Added Sanitation Equipment Repair Coordinator to 5/12/19 and 1/1/20.</t>
  </si>
  <si>
    <t>Deleted Equipment Repair Coordinator on 5/12/19 and 1/1/20</t>
  </si>
  <si>
    <t>Added Sanitation Equipment Repair Coordinator &amp; Fleet Equipment Repair Coord to 1/1/2019</t>
  </si>
  <si>
    <t>52973C</t>
  </si>
  <si>
    <t>Nelms, Pam K.:</t>
  </si>
  <si>
    <t xml:space="preserve">Effective January 1 2018: </t>
  </si>
  <si>
    <t xml:space="preserve">General Increase 2.5%; </t>
  </si>
  <si>
    <t>Shift Differential and Longevity; 2.5%</t>
  </si>
  <si>
    <t xml:space="preserve">Premiums for "B"-rated machines, "C"-rated machines, Class "A"/CDL, Hazmat, Outside Truck, and Confined Space; 2.5% </t>
  </si>
  <si>
    <t xml:space="preserve">Effective October 14, 2018: </t>
  </si>
  <si>
    <t xml:space="preserve">$0.34 per hour increase to each pair of ASE, EVT and welding certifications. </t>
  </si>
  <si>
    <t>Add "Aerial Boom Lift" to "C"-rated machines list</t>
  </si>
  <si>
    <t>Add "Combination Truck/Trailer over 26,000 lbs. to "Class 'A' Commercial Driver's License (CDL) Special Endorsement Premium" list.</t>
  </si>
  <si>
    <t>***Effective May 12, 2019:</t>
  </si>
  <si>
    <t>$0.50 per hour decrease to all job classes, $0.50 per hour increase to the Supplemental Pension contribution.</t>
  </si>
  <si>
    <t>-as per communication from Laura Davis on 4/30/2019</t>
  </si>
  <si>
    <t>Effective January 1, 2019:</t>
  </si>
  <si>
    <t>2.5% Increase to all wages, shift differentials, longevity, and all premiums</t>
  </si>
  <si>
    <t>Effective January 1, 2020:</t>
  </si>
  <si>
    <t>Corrected 1 1 20 tab, row 38 to reflect category "B" machines per the 5 12 19 tab</t>
  </si>
  <si>
    <t>0-1000 hours
(= max base PWSWI)</t>
  </si>
  <si>
    <t>1001-2000
hours</t>
  </si>
  <si>
    <t>2001-3000
hours</t>
  </si>
  <si>
    <t>3001-4000
hours</t>
  </si>
  <si>
    <t>After 4000
hours</t>
  </si>
  <si>
    <t>Class
Grade</t>
  </si>
  <si>
    <t>Pay
Type</t>
  </si>
  <si>
    <t>FLSA/
OTC</t>
  </si>
  <si>
    <t>Job
Code</t>
  </si>
  <si>
    <t>Salary
Grade</t>
  </si>
  <si>
    <t>0-1000 hours
(= max base MCL)</t>
  </si>
  <si>
    <t>Public Works Service Worker 2 (PWSW2)</t>
  </si>
  <si>
    <t>Job Title</t>
  </si>
  <si>
    <t>*</t>
  </si>
  <si>
    <t>Employees must keep ratings current and must advise the City of any  change in status.</t>
  </si>
  <si>
    <t xml:space="preserve">City will pay the registration fee for all IUOE members and will reimburse IUOE members the </t>
  </si>
  <si>
    <t>City will purchase and provide a library for all IUOE members of all agreed upon study materials.</t>
  </si>
  <si>
    <t>Employees will study for the test on their own time.</t>
  </si>
  <si>
    <t>If tests are only offered during an employee’s regularly scheduled shift, they shall test on City time.</t>
  </si>
  <si>
    <t>Automotive Mechanics shall not be required to have ASE certifications.</t>
  </si>
  <si>
    <t>Recognize DOT certification equals 2 ASE certifications.</t>
  </si>
  <si>
    <t>These EVT Certification bundles are shown in ASE Categories 'E', 'F' and 'G', below.</t>
  </si>
  <si>
    <t>'A':</t>
  </si>
  <si>
    <t>'B':</t>
  </si>
  <si>
    <t>'C':</t>
  </si>
  <si>
    <t>'D':</t>
  </si>
  <si>
    <t>'E':</t>
  </si>
  <si>
    <t>'F':</t>
  </si>
  <si>
    <t>'G':</t>
  </si>
  <si>
    <t>The Employer may identify up to 2 Core and 2 Supplemental welding certifications</t>
  </si>
  <si>
    <t>Each Welder, Metal Fabrication Specialist, Plant Repair Worker and Plant Operator shall be eligible for an additional</t>
  </si>
  <si>
    <t xml:space="preserve">Each Welder, Metal Fabrication Specialist and Plant Repair Worker shall be eligible for an additional </t>
  </si>
  <si>
    <t>For supplemental certifications, the Employer shall identify the number of employees it needs certified</t>
  </si>
  <si>
    <t xml:space="preserve">In order of seniority, employees, up to the number identified by the Employer, shall be compensated an additional  </t>
  </si>
  <si>
    <t>1)</t>
  </si>
  <si>
    <t>2)</t>
  </si>
  <si>
    <t>3)</t>
  </si>
  <si>
    <t xml:space="preserve"> pay the registration fee for all IUOE members and will reimburse IUOE members the testing fee for each test successfully completed and one failed test.</t>
  </si>
  <si>
    <t xml:space="preserve"> City will purchase and provide a library for all IUOE members of all agreed upon study materials.</t>
  </si>
  <si>
    <t xml:space="preserve"> Employees will study for the test on their own time.</t>
  </si>
  <si>
    <t xml:space="preserve"> If tests are only offered during an employee’s regularly scheduled shift, they shall test on City time.</t>
  </si>
  <si>
    <t xml:space="preserve"> Construction Equipment Operators shall not be required to have CCO certifications.</t>
  </si>
  <si>
    <t xml:space="preserve"> Employees must keep certification current and must advise the City of any  change in status.</t>
  </si>
  <si>
    <t>4)</t>
  </si>
  <si>
    <t>5)</t>
  </si>
  <si>
    <t>6)</t>
  </si>
  <si>
    <t xml:space="preserve">maintaining a valid HAZ-MAT certification.  Opportunities for attaining certification shall be offered on a seniority basis. </t>
  </si>
  <si>
    <t>Once certified, eligible employees may be assigned to job sits at the discretion of the Employer. Such assignments</t>
  </si>
  <si>
    <t>shall not replace their permanent assignment.  Beginning with the equipment bid in May, 2003, Mechanics assigned</t>
  </si>
  <si>
    <t>the outside truck shall be required to be Haz-Mat certified.  Employees receiving this premium shall not be eligible for</t>
  </si>
  <si>
    <t>the hourly premiums in section "b".</t>
  </si>
  <si>
    <t>following premiums for all hours actually worked:</t>
  </si>
  <si>
    <t>New employees hired into classifications with six-month rates shall remain in the six-month rate for six  calendar months.</t>
  </si>
  <si>
    <t>TL-OSHA Prot Equip C-CEQ</t>
  </si>
  <si>
    <t>CEQOPC</t>
  </si>
  <si>
    <t>ASE Certification - A</t>
  </si>
  <si>
    <t>ASE Certification - B</t>
  </si>
  <si>
    <t>ASE Certification - C</t>
  </si>
  <si>
    <t>ASE Certification - D</t>
  </si>
  <si>
    <t>CEQASA</t>
  </si>
  <si>
    <t>CEQASB</t>
  </si>
  <si>
    <t>CEQASC</t>
  </si>
  <si>
    <t>CEQASD</t>
  </si>
  <si>
    <t>ASE Certification - E</t>
  </si>
  <si>
    <t>ASE Certification - F</t>
  </si>
  <si>
    <t>ASE Certification - G</t>
  </si>
  <si>
    <t>CEQASE</t>
  </si>
  <si>
    <t>CEQASF</t>
  </si>
  <si>
    <t>CEQASG</t>
  </si>
  <si>
    <t>Haz-Mat Certification</t>
  </si>
  <si>
    <t>CEQHAZ</t>
  </si>
  <si>
    <t>TL-OSHA Prot Equip A-CEQ</t>
  </si>
  <si>
    <t>TL-OSHA Prot Equip B-CEQ</t>
  </si>
  <si>
    <t>CEQOPA</t>
  </si>
  <si>
    <t>CEQOPB</t>
  </si>
  <si>
    <t>TL-Special Endorsement-CEQ</t>
  </si>
  <si>
    <t>CEQSPE</t>
  </si>
  <si>
    <t>TL-Equipment C-CEQ</t>
  </si>
  <si>
    <t>CEQEQC</t>
  </si>
  <si>
    <t>CEQEQB</t>
  </si>
  <si>
    <t>TL-Equipment B-CEQ</t>
  </si>
  <si>
    <t>CEQOTR</t>
  </si>
  <si>
    <t>TL-Outside Truck Premium-CEQ</t>
  </si>
  <si>
    <t>CEQCNF</t>
  </si>
  <si>
    <t>TL-Confined Space Entry-CEQ</t>
  </si>
  <si>
    <t>CEQEVE</t>
  </si>
  <si>
    <t>TL-Evening Shift Premium-CEQ</t>
  </si>
  <si>
    <t>CEQAM1</t>
  </si>
  <si>
    <t>TL-Morning Shift Premium CEQ</t>
  </si>
  <si>
    <t>CEQWKE</t>
  </si>
  <si>
    <t>TL-Weekend Shift-CEQ</t>
  </si>
  <si>
    <t>CEQTPP</t>
  </si>
  <si>
    <t>TL-Training Premium Pay-CEQ</t>
  </si>
  <si>
    <t>CEQWLS</t>
  </si>
  <si>
    <t>Welding Cert - Supplemental</t>
  </si>
  <si>
    <t>CEQWL6</t>
  </si>
  <si>
    <t>Welding Cert-Supplemental 6</t>
  </si>
  <si>
    <t>CEQWLC</t>
  </si>
  <si>
    <t>Welding Certification - Core</t>
  </si>
  <si>
    <t>10th</t>
  </si>
  <si>
    <t>15th</t>
  </si>
  <si>
    <t>20th</t>
  </si>
  <si>
    <t>25th</t>
  </si>
  <si>
    <t>Pension fund contribution</t>
  </si>
  <si>
    <t>Update?</t>
  </si>
  <si>
    <t>Y</t>
  </si>
  <si>
    <t>UNKNOWN</t>
  </si>
  <si>
    <t>PercIncr2021</t>
  </si>
  <si>
    <t>NA</t>
  </si>
  <si>
    <t>Pension</t>
  </si>
  <si>
    <t>Pension2021</t>
  </si>
  <si>
    <t>Pension2020</t>
  </si>
  <si>
    <t>PercIncr2022</t>
  </si>
  <si>
    <t>Pension2022</t>
  </si>
  <si>
    <t>PercIncr2023</t>
  </si>
  <si>
    <t>Pension2023</t>
  </si>
  <si>
    <t>52919C</t>
  </si>
  <si>
    <t>Auto Mechanic Trainee</t>
  </si>
  <si>
    <r>
      <rPr>
        <b/>
        <sz val="10"/>
        <rFont val="Calibri"/>
        <family val="2"/>
        <scheme val="minor"/>
      </rPr>
      <t>Step 1</t>
    </r>
    <r>
      <rPr>
        <i/>
        <sz val="10"/>
        <rFont val="Calibri"/>
        <family val="2"/>
        <scheme val="minor"/>
      </rPr>
      <t xml:space="preserve">
Year 1</t>
    </r>
  </si>
  <si>
    <r>
      <rPr>
        <b/>
        <sz val="10"/>
        <rFont val="Calibri"/>
        <family val="2"/>
        <scheme val="minor"/>
      </rPr>
      <t>Step 2</t>
    </r>
    <r>
      <rPr>
        <i/>
        <sz val="10"/>
        <rFont val="Calibri"/>
        <family val="2"/>
        <scheme val="minor"/>
      </rPr>
      <t xml:space="preserve">
Year 2</t>
    </r>
  </si>
  <si>
    <r>
      <rPr>
        <b/>
        <sz val="10"/>
        <rFont val="Calibri"/>
        <family val="2"/>
        <scheme val="minor"/>
      </rPr>
      <t>Step 3</t>
    </r>
    <r>
      <rPr>
        <i/>
        <sz val="10"/>
        <rFont val="Calibri"/>
        <family val="2"/>
        <scheme val="minor"/>
      </rPr>
      <t xml:space="preserve">
Year 3</t>
    </r>
  </si>
  <si>
    <t>Increase 1.5%</t>
  </si>
  <si>
    <t>Increase 2.5%</t>
  </si>
  <si>
    <t>Effective  January 1, 2023</t>
  </si>
  <si>
    <t>Effective  January 1, 2022</t>
  </si>
  <si>
    <t>Effective  January 1, 2021</t>
  </si>
  <si>
    <t>Rate Code</t>
  </si>
  <si>
    <t>Rate</t>
  </si>
  <si>
    <t>6- month
rate (Step 11)</t>
  </si>
  <si>
    <t>CEQWL5</t>
  </si>
  <si>
    <t>Welding Cert Supplemental 5</t>
  </si>
  <si>
    <t>Added CEQWL5 - s/be same as CEQWL6</t>
  </si>
  <si>
    <t>Welding Cert-Supplemental 5</t>
  </si>
  <si>
    <t>PercIncr2024</t>
  </si>
  <si>
    <t>Pension2024</t>
  </si>
  <si>
    <t>New-check</t>
  </si>
  <si>
    <t>COVERALLS</t>
  </si>
  <si>
    <t>SHIFT DIFFERENTIAL</t>
  </si>
  <si>
    <t>LONGEVITY</t>
  </si>
  <si>
    <t>TRAINING PREMIUM</t>
  </si>
  <si>
    <r>
      <t>SAFETY SHOES</t>
    </r>
    <r>
      <rPr>
        <b/>
        <sz val="10"/>
        <rFont val="Calibri"/>
        <family val="2"/>
        <scheme val="minor"/>
      </rPr>
      <t xml:space="preserve">: </t>
    </r>
    <r>
      <rPr>
        <sz val="10"/>
        <rFont val="Calibri"/>
        <family val="2"/>
        <scheme val="minor"/>
      </rPr>
      <t>Effective 1/1/2016 safety shoes reimbursement was discontinued as the dollars for the program are now included within the hourly wages.</t>
    </r>
  </si>
  <si>
    <t>EVT CERTIFICATION:</t>
  </si>
  <si>
    <t>HAZ-MAT CERTIFICATION:</t>
  </si>
  <si>
    <t>CLASS "A" COMMERICAL DRIVER'S LICENSE (CDL) SPECIAL ENDORSEMENT PREMIUM</t>
  </si>
  <si>
    <r>
      <t xml:space="preserve">Employee(s) officially designated as a full-time </t>
    </r>
    <r>
      <rPr>
        <b/>
        <sz val="10"/>
        <rFont val="Calibri"/>
        <family val="2"/>
        <scheme val="minor"/>
      </rPr>
      <t>Training Coordinator</t>
    </r>
    <r>
      <rPr>
        <sz val="10"/>
        <rFont val="Calibri"/>
        <family val="2"/>
        <scheme val="minor"/>
      </rPr>
      <t xml:space="preserve"> shall receive a premium equal</t>
    </r>
  </si>
  <si>
    <t>Effective  January 1, 2025</t>
  </si>
  <si>
    <t>Data2024</t>
  </si>
  <si>
    <t>PercIncr2025</t>
  </si>
  <si>
    <t>Effective  January 1, 2026</t>
  </si>
  <si>
    <t>PercIncr2026</t>
  </si>
  <si>
    <t>Data2025</t>
  </si>
  <si>
    <t>CEQAS1</t>
  </si>
  <si>
    <t>CEQAS2</t>
  </si>
  <si>
    <t>CEQAS3</t>
  </si>
  <si>
    <t>WELDER STEP PROGRESSION- applies to the following classifications: Metal Fabrication &amp; Welding Specialist; Shop Welder</t>
  </si>
  <si>
    <t>The Employer will identify up to 2 Core and 2 Supplemental welding certifications</t>
  </si>
  <si>
    <t>The above classiciations are assigend to a wage step that reflects the highest level of certification held by the employee, as follows:</t>
  </si>
  <si>
    <t xml:space="preserve">2 Core Welder Certifications </t>
  </si>
  <si>
    <t>2 Core and 1 Supplemental Certifications</t>
  </si>
  <si>
    <t>2 Core and 2 Supplemental Certifications</t>
  </si>
  <si>
    <t>The above classiciations are assigend to a wage step that reflects the highest level of certification level held by the employee, as follows:</t>
  </si>
  <si>
    <t>Employee shows proof of successfully passing any four (4) ASE tests</t>
  </si>
  <si>
    <t>Employee shows proof of successfully passing any six (6) ASE tests</t>
  </si>
  <si>
    <t>Employee shows proof of successfully passing any eight (8) ASE tests</t>
  </si>
  <si>
    <t>Employee shows proof of successfully passing any two (2) ASE tests. Employees must attain these certificaitions by the end of the first year of employment (this requirement does not apply to those hired prior to 12/31/2023)</t>
  </si>
  <si>
    <t>Increase 4.5%</t>
  </si>
  <si>
    <t>MECHANIC STEP PROGRESSION- applies to the following classifications: Auto Mechanic; Foreman Auto Mechanic; Fleet Equipment Repair Coordinator; Sanitation Equipment Repair Coordinator</t>
  </si>
  <si>
    <t>These EVT Certification bundles are shown in ASE Categories 'A', 'B' and 'C', below.</t>
  </si>
  <si>
    <t>Automotive Mechanics are required to hold two (2) ASE certifications (this requirement does not apply to those hired prior to 12/31/2023)</t>
  </si>
  <si>
    <t xml:space="preserve"> Pay the registration fee for all IUOE members and will reimburse IUOE members the testing fee for each test successfully completed and one failed test.</t>
  </si>
  <si>
    <t>1 Core Welder Certification. Employee must attain this certification by the end of the first year of employment (this requirement does not apply to those hired prior to 12/31/2023)</t>
  </si>
  <si>
    <t>1st Year
School</t>
  </si>
  <si>
    <t>2nd Year
School</t>
  </si>
  <si>
    <t>Graduation</t>
  </si>
  <si>
    <t>PWSWI'S MOVING TO PWSWII APPRENTICESHIP PROGRAM</t>
  </si>
  <si>
    <t xml:space="preserve">Public Workers Service Worker Is at Step 4 going into the Public Works Service Worker II Apprentice Program will retain their Step 4 pay rate until moving to Step 2 of the </t>
  </si>
  <si>
    <t>Effective  July 1, 2024</t>
  </si>
  <si>
    <t>0-1000
hours</t>
  </si>
  <si>
    <t>Misc Adjustments</t>
  </si>
  <si>
    <t>Effective  January 1, 2024</t>
  </si>
  <si>
    <t>City of Minneapolis</t>
  </si>
  <si>
    <t>Last updated 12/10/2024</t>
  </si>
  <si>
    <t>Page 1 of 1</t>
  </si>
  <si>
    <t>CEQEVA</t>
  </si>
  <si>
    <t>CEQEVB</t>
  </si>
  <si>
    <t>CEQEVC</t>
  </si>
  <si>
    <t>EVT -cert - level A</t>
  </si>
  <si>
    <t>EVT - level B</t>
  </si>
  <si>
    <t>EVT level C</t>
  </si>
  <si>
    <t>CEQCDW</t>
  </si>
  <si>
    <t>CEQCDY</t>
  </si>
  <si>
    <t>TL-On call by the day (we)-CEQ</t>
  </si>
  <si>
    <t>TL-On call by the day-CEQ</t>
  </si>
  <si>
    <t>CEQCRP</t>
  </si>
  <si>
    <t>Critical Response T&amp;L</t>
  </si>
  <si>
    <t>does not update w/COLA</t>
  </si>
  <si>
    <t>% Incr</t>
  </si>
  <si>
    <t>COMET says $0.99</t>
  </si>
  <si>
    <t xml:space="preserve">Employee shows proof of successfully passing any two (2) ASE tests. Employees must attain these certificaitions by the end of the </t>
  </si>
  <si>
    <t>first year of employment (this requirement does not apply to those hired prior to 12/31/2023)</t>
  </si>
  <si>
    <t xml:space="preserve">1 Core Welder Certification. Employee must attain this certificaition by the end of the first year of employment (this requirement </t>
  </si>
  <si>
    <t>does not apply to those hired prior to 12/31/2023)</t>
  </si>
  <si>
    <t xml:space="preserve">MECHANIC STEP PROGRESSION- applies to the following classifications: Auto Mechanic; Foreman Auto Mechanic; Fleet Equipment Repair Coordinator; </t>
  </si>
  <si>
    <t>EVT - level C</t>
  </si>
  <si>
    <t>EVT - level A</t>
  </si>
  <si>
    <t>SPA</t>
  </si>
  <si>
    <t>Last Update: July 27,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</si>
</sst>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164" formatCode="&quot;$&quot;#,##0.000"/>
    <numFmt numFmtId="165" formatCode="0.000"/>
    <numFmt numFmtId="166" formatCode="#,##0.000"/>
    <numFmt numFmtId="167" formatCode="&quot;$&quot;#,##0.000_);[Red]\(&quot;$&quot;#,##0.000\)"/>
    <numFmt numFmtId="168" formatCode="General_)"/>
    <numFmt numFmtId="169" formatCode="&quot;$&quot;#,##0.00"/>
    <numFmt numFmtId="170" formatCode="_(&quot;$&quot;* #,##0.0000_);_(&quot;$&quot;* \(#,##0.0000\);_(&quot;$&quot;* &quot;-&quot;????_);_(@_)"/>
    <numFmt numFmtId="171" formatCode="m/d/yy;@"/>
    <numFmt numFmtId="172" formatCode="0.0%"/>
  </numFmts>
  <fonts count="24" x14ac:knownFonts="1">
    <font>
      <sz val="10"/>
      <name val="Arial"/>
      <family val="2"/>
    </font>
    <font>
      <b/>
      <sz val="10"/>
      <name val="Calibri"/>
      <family val="2"/>
      <scheme val="minor"/>
    </font>
    <font>
      <sz val="10"/>
      <name val="Calibri"/>
      <family val="2"/>
      <scheme val="minor"/>
    </font>
    <font>
      <sz val="10"/>
      <color indexed="9"/>
      <name val="Calibri"/>
      <family val="2"/>
      <scheme val="minor"/>
    </font>
    <font>
      <b/>
      <sz val="10"/>
      <color indexed="9"/>
      <name val="Calibri"/>
      <family val="2"/>
      <scheme val="minor"/>
    </font>
    <font>
      <sz val="12"/>
      <name val="Helv"/>
    </font>
    <font>
      <sz val="12"/>
      <name val="Calibri"/>
      <family val="2"/>
      <scheme val="minor"/>
    </font>
    <font>
      <b/>
      <u/>
      <sz val="10"/>
      <name val="Calibri"/>
      <family val="2"/>
      <scheme val="minor"/>
    </font>
    <font>
      <sz val="9"/>
      <name val="Calibri"/>
      <family val="2"/>
      <scheme val="minor"/>
    </font>
    <font>
      <u/>
      <sz val="10"/>
      <name val="Calibri"/>
      <family val="2"/>
      <scheme val="minor"/>
    </font>
    <font>
      <sz val="8"/>
      <name val="Calibri"/>
      <family val="2"/>
      <scheme val="minor"/>
    </font>
    <font>
      <sz val="9"/>
      <color indexed="81"/>
      <name val="Tahoma"/>
      <family val="2"/>
    </font>
    <font>
      <b/>
      <sz val="9"/>
      <color indexed="81"/>
      <name val="Tahoma"/>
      <family val="2"/>
    </font>
    <font>
      <sz val="10"/>
      <color theme="0"/>
      <name val="Calibri"/>
      <family val="2"/>
      <scheme val="minor"/>
    </font>
    <font>
      <b/>
      <sz val="10"/>
      <color theme="0"/>
      <name val="Calibri"/>
      <family val="2"/>
      <scheme val="minor"/>
    </font>
    <font>
      <sz val="9"/>
      <color theme="0"/>
      <name val="Calibri"/>
      <family val="2"/>
      <scheme val="minor"/>
    </font>
    <font>
      <sz val="8"/>
      <color theme="0"/>
      <name val="Calibri"/>
      <family val="2"/>
      <scheme val="minor"/>
    </font>
    <font>
      <b/>
      <sz val="12"/>
      <name val="Calibri"/>
      <family val="2"/>
      <scheme val="minor"/>
    </font>
    <font>
      <sz val="10"/>
      <name val="Calibri"/>
      <family val="2"/>
    </font>
    <font>
      <i/>
      <sz val="10"/>
      <name val="Calibri"/>
      <family val="2"/>
      <scheme val="minor"/>
    </font>
    <font>
      <sz val="8"/>
      <name val="Arial"/>
      <family val="2"/>
    </font>
    <font>
      <sz val="10"/>
      <name val="Arial"/>
      <family val="2"/>
    </font>
    <font>
      <sz val="10"/>
      <color theme="1"/>
      <name val="Calibri"/>
      <family val="2"/>
      <scheme val="minor"/>
    </font>
    <font>
      <strike/>
      <sz val="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FF00"/>
        <bgColor indexed="64"/>
      </patternFill>
    </fill>
    <fill>
      <patternFill patternType="solid">
        <fgColor theme="8"/>
        <bgColor indexed="64"/>
      </patternFill>
    </fill>
    <fill>
      <patternFill patternType="solid">
        <fgColor theme="9" tint="0.39997558519241921"/>
        <bgColor indexed="64"/>
      </patternFill>
    </fill>
    <fill>
      <patternFill patternType="solid">
        <fgColor rgb="FFFF0000"/>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168" fontId="5" fillId="0" borderId="0"/>
    <xf numFmtId="9" fontId="21" fillId="0" borderId="0" applyFont="0" applyFill="0" applyBorder="0" applyAlignment="0" applyProtection="0"/>
  </cellStyleXfs>
  <cellXfs count="258">
    <xf numFmtId="0" fontId="0" fillId="0" borderId="0" xfId="0"/>
    <xf numFmtId="0" fontId="1" fillId="0" borderId="0" xfId="0" applyFont="1" applyFill="1" applyProtection="1">
      <protection hidden="1"/>
    </xf>
    <xf numFmtId="0" fontId="2" fillId="0" borderId="0" xfId="0" applyFont="1" applyFill="1" applyProtection="1">
      <protection hidden="1"/>
    </xf>
    <xf numFmtId="0" fontId="2" fillId="0" borderId="0" xfId="0" applyFont="1" applyFill="1" applyBorder="1" applyProtection="1">
      <protection hidden="1"/>
    </xf>
    <xf numFmtId="0" fontId="2" fillId="0" borderId="0" xfId="0" applyFont="1" applyFill="1" applyAlignment="1" applyProtection="1">
      <alignment horizontal="center"/>
      <protection hidden="1"/>
    </xf>
    <xf numFmtId="0" fontId="3" fillId="0" borderId="0" xfId="0" applyFont="1" applyFill="1" applyProtection="1">
      <protection hidden="1"/>
    </xf>
    <xf numFmtId="14" fontId="3" fillId="0" borderId="0" xfId="0" applyNumberFormat="1" applyFont="1" applyFill="1" applyProtection="1">
      <protection hidden="1"/>
    </xf>
    <xf numFmtId="0" fontId="1" fillId="0" borderId="0" xfId="0" applyFont="1" applyFill="1" applyAlignment="1" applyProtection="1">
      <alignment horizontal="center"/>
      <protection hidden="1"/>
    </xf>
    <xf numFmtId="0" fontId="1" fillId="0" borderId="0" xfId="0" applyFont="1" applyFill="1" applyBorder="1" applyAlignment="1" applyProtection="1">
      <alignment horizontal="center"/>
      <protection hidden="1"/>
    </xf>
    <xf numFmtId="2" fontId="1" fillId="0" borderId="0" xfId="0" applyNumberFormat="1" applyFont="1" applyFill="1" applyAlignment="1" applyProtection="1">
      <alignment horizontal="center" wrapText="1"/>
      <protection hidden="1"/>
    </xf>
    <xf numFmtId="2" fontId="1" fillId="0" borderId="0" xfId="0" applyNumberFormat="1" applyFont="1" applyFill="1" applyAlignment="1" applyProtection="1">
      <alignment horizontal="center"/>
      <protection hidden="1"/>
    </xf>
    <xf numFmtId="0" fontId="4" fillId="0" borderId="0" xfId="0" applyFont="1" applyFill="1" applyAlignment="1" applyProtection="1">
      <alignment horizontal="center" wrapText="1"/>
      <protection hidden="1"/>
    </xf>
    <xf numFmtId="2" fontId="4" fillId="0" borderId="0" xfId="0" applyNumberFormat="1" applyFont="1" applyFill="1" applyAlignment="1" applyProtection="1">
      <alignment horizontal="center" wrapText="1"/>
      <protection hidden="1"/>
    </xf>
    <xf numFmtId="2" fontId="4" fillId="0" borderId="0" xfId="0" applyNumberFormat="1" applyFont="1" applyFill="1" applyAlignment="1" applyProtection="1">
      <alignment horizontal="center"/>
      <protection hidden="1"/>
    </xf>
    <xf numFmtId="0" fontId="2" fillId="0" borderId="0" xfId="0" applyFont="1" applyFill="1" applyBorder="1" applyAlignment="1" applyProtection="1">
      <alignment wrapText="1"/>
      <protection hidden="1"/>
    </xf>
    <xf numFmtId="164" fontId="2" fillId="0" borderId="0" xfId="0" applyNumberFormat="1" applyFont="1" applyFill="1" applyAlignment="1" applyProtection="1">
      <alignment horizontal="center"/>
      <protection hidden="1"/>
    </xf>
    <xf numFmtId="165" fontId="3" fillId="0" borderId="0" xfId="0" applyNumberFormat="1" applyFont="1" applyFill="1" applyAlignment="1" applyProtection="1">
      <alignment horizontal="center"/>
      <protection hidden="1"/>
    </xf>
    <xf numFmtId="165" fontId="3" fillId="0" borderId="0" xfId="0" applyNumberFormat="1" applyFont="1" applyFill="1" applyProtection="1">
      <protection hidden="1"/>
    </xf>
    <xf numFmtId="0" fontId="2" fillId="0" borderId="0" xfId="1" applyFont="1" applyFill="1" applyAlignment="1" applyProtection="1">
      <alignment horizontal="left" indent="1"/>
      <protection hidden="1"/>
    </xf>
    <xf numFmtId="0" fontId="2" fillId="0" borderId="0" xfId="1" applyFont="1" applyFill="1" applyProtection="1">
      <protection hidden="1"/>
    </xf>
    <xf numFmtId="0" fontId="2" fillId="0" borderId="0" xfId="1" applyFont="1" applyFill="1" applyAlignment="1" applyProtection="1">
      <alignment horizontal="center"/>
      <protection hidden="1"/>
    </xf>
    <xf numFmtId="166" fontId="2" fillId="0" borderId="0" xfId="0" applyNumberFormat="1" applyFont="1" applyFill="1" applyAlignment="1" applyProtection="1">
      <alignment horizontal="center"/>
      <protection hidden="1"/>
    </xf>
    <xf numFmtId="165" fontId="3" fillId="0" borderId="0" xfId="1" applyNumberFormat="1" applyFont="1" applyFill="1" applyAlignment="1" applyProtection="1">
      <alignment horizontal="center"/>
      <protection hidden="1"/>
    </xf>
    <xf numFmtId="0" fontId="2" fillId="0" borderId="0" xfId="1" applyFont="1" applyFill="1" applyBorder="1" applyAlignment="1" applyProtection="1">
      <alignment horizontal="left" indent="1"/>
      <protection hidden="1"/>
    </xf>
    <xf numFmtId="0" fontId="2" fillId="0" borderId="0" xfId="1" applyFont="1" applyFill="1" applyBorder="1" applyProtection="1">
      <protection hidden="1"/>
    </xf>
    <xf numFmtId="0" fontId="2" fillId="0" borderId="0" xfId="1" applyFont="1" applyFill="1" applyBorder="1" applyAlignment="1" applyProtection="1">
      <alignment horizontal="center"/>
      <protection hidden="1"/>
    </xf>
    <xf numFmtId="165" fontId="3" fillId="0" borderId="0" xfId="1" applyNumberFormat="1" applyFont="1" applyFill="1" applyBorder="1" applyAlignment="1" applyProtection="1">
      <alignment horizontal="center"/>
      <protection hidden="1"/>
    </xf>
    <xf numFmtId="165" fontId="3" fillId="0" borderId="0" xfId="0" applyNumberFormat="1" applyFont="1" applyFill="1" applyBorder="1" applyAlignment="1" applyProtection="1">
      <alignment horizontal="center"/>
      <protection hidden="1"/>
    </xf>
    <xf numFmtId="0" fontId="1" fillId="0" borderId="0" xfId="1" applyFont="1" applyFill="1" applyBorder="1" applyAlignment="1" applyProtection="1">
      <alignment horizontal="left" indent="1"/>
      <protection hidden="1"/>
    </xf>
    <xf numFmtId="0" fontId="2" fillId="0" borderId="0" xfId="0" applyFont="1" applyFill="1" applyBorder="1" applyAlignment="1" applyProtection="1">
      <alignment horizontal="center"/>
      <protection hidden="1"/>
    </xf>
    <xf numFmtId="0" fontId="2" fillId="0" borderId="0" xfId="1" applyFont="1" applyFill="1" applyBorder="1" applyAlignment="1" applyProtection="1">
      <protection hidden="1"/>
    </xf>
    <xf numFmtId="0" fontId="2" fillId="0" borderId="0" xfId="0" applyFont="1" applyFill="1" applyBorder="1" applyAlignment="1" applyProtection="1">
      <protection hidden="1"/>
    </xf>
    <xf numFmtId="0" fontId="6" fillId="0" borderId="0" xfId="0" applyFont="1" applyFill="1" applyProtection="1">
      <protection hidden="1"/>
    </xf>
    <xf numFmtId="0" fontId="2" fillId="0" borderId="0" xfId="0" applyFont="1" applyFill="1" applyAlignment="1" applyProtection="1">
      <protection hidden="1"/>
    </xf>
    <xf numFmtId="0" fontId="3" fillId="0" borderId="0" xfId="0" applyFont="1" applyFill="1" applyAlignment="1" applyProtection="1">
      <protection hidden="1"/>
    </xf>
    <xf numFmtId="2" fontId="2" fillId="0" borderId="0" xfId="0" applyNumberFormat="1" applyFont="1" applyFill="1" applyAlignment="1" applyProtection="1">
      <alignment horizontal="center"/>
      <protection hidden="1"/>
    </xf>
    <xf numFmtId="0" fontId="2" fillId="0" borderId="0" xfId="0" applyFont="1" applyFill="1" applyAlignment="1" applyProtection="1">
      <alignment horizontal="left"/>
      <protection hidden="1"/>
    </xf>
    <xf numFmtId="2" fontId="2" fillId="0" borderId="0" xfId="1" applyNumberFormat="1" applyFont="1" applyFill="1" applyAlignment="1" applyProtection="1">
      <alignment horizontal="center"/>
      <protection hidden="1"/>
    </xf>
    <xf numFmtId="2" fontId="2" fillId="0" borderId="0" xfId="1" applyNumberFormat="1" applyFont="1" applyFill="1" applyBorder="1" applyAlignment="1" applyProtection="1">
      <alignment horizontal="center"/>
      <protection hidden="1"/>
    </xf>
    <xf numFmtId="0" fontId="2" fillId="0" borderId="0" xfId="1" applyFont="1" applyFill="1" applyAlignment="1" applyProtection="1">
      <alignment horizontal="left"/>
      <protection hidden="1"/>
    </xf>
    <xf numFmtId="167" fontId="2" fillId="0" borderId="1" xfId="0" applyNumberFormat="1" applyFont="1" applyFill="1" applyBorder="1" applyAlignment="1" applyProtection="1">
      <protection hidden="1"/>
    </xf>
    <xf numFmtId="0" fontId="8" fillId="0" borderId="0" xfId="1" applyFont="1" applyFill="1" applyProtection="1">
      <protection hidden="1"/>
    </xf>
    <xf numFmtId="2" fontId="2" fillId="0" borderId="0" xfId="1" applyNumberFormat="1" applyFont="1" applyFill="1" applyAlignment="1" applyProtection="1">
      <alignment horizontal="left"/>
      <protection hidden="1"/>
    </xf>
    <xf numFmtId="0" fontId="7" fillId="0" borderId="0" xfId="1" applyFont="1" applyFill="1" applyAlignment="1" applyProtection="1">
      <alignment horizontal="left"/>
      <protection hidden="1"/>
    </xf>
    <xf numFmtId="0" fontId="9" fillId="0" borderId="0" xfId="0" applyFont="1" applyFill="1" applyAlignment="1" applyProtection="1">
      <protection hidden="1"/>
    </xf>
    <xf numFmtId="167" fontId="3" fillId="0" borderId="0" xfId="0" applyNumberFormat="1" applyFont="1" applyFill="1" applyAlignment="1" applyProtection="1">
      <protection hidden="1"/>
    </xf>
    <xf numFmtId="167" fontId="2" fillId="0" borderId="1" xfId="1" applyNumberFormat="1" applyFont="1" applyFill="1" applyBorder="1" applyAlignment="1" applyProtection="1">
      <alignment horizontal="left"/>
      <protection hidden="1"/>
    </xf>
    <xf numFmtId="0" fontId="2" fillId="0" borderId="0" xfId="1" applyFont="1" applyFill="1" applyAlignment="1" applyProtection="1">
      <alignment horizontal="left" indent="2"/>
      <protection hidden="1"/>
    </xf>
    <xf numFmtId="167" fontId="2" fillId="0" borderId="2" xfId="1" applyNumberFormat="1" applyFont="1" applyFill="1" applyBorder="1" applyProtection="1">
      <protection hidden="1"/>
    </xf>
    <xf numFmtId="167" fontId="2" fillId="0" borderId="1" xfId="1" applyNumberFormat="1" applyFont="1" applyFill="1" applyBorder="1" applyProtection="1">
      <protection hidden="1"/>
    </xf>
    <xf numFmtId="167" fontId="3" fillId="0" borderId="0" xfId="0" applyNumberFormat="1" applyFont="1" applyFill="1" applyProtection="1">
      <protection hidden="1"/>
    </xf>
    <xf numFmtId="0" fontId="9" fillId="0" borderId="0" xfId="1" applyFont="1" applyFill="1" applyAlignment="1" applyProtection="1">
      <alignment horizontal="center"/>
      <protection hidden="1"/>
    </xf>
    <xf numFmtId="167" fontId="2" fillId="0" borderId="1" xfId="1" applyNumberFormat="1" applyFont="1" applyFill="1" applyBorder="1" applyAlignment="1" applyProtection="1">
      <alignment horizontal="left" indent="1"/>
      <protection hidden="1"/>
    </xf>
    <xf numFmtId="167" fontId="2" fillId="0" borderId="0" xfId="1" applyNumberFormat="1" applyFont="1" applyFill="1" applyBorder="1" applyAlignment="1" applyProtection="1">
      <alignment horizontal="left" indent="1"/>
      <protection hidden="1"/>
    </xf>
    <xf numFmtId="164" fontId="2" fillId="0" borderId="1" xfId="1" applyNumberFormat="1" applyFont="1" applyFill="1" applyBorder="1" applyAlignment="1" applyProtection="1">
      <alignment horizontal="center"/>
      <protection hidden="1"/>
    </xf>
    <xf numFmtId="2" fontId="1" fillId="0" borderId="0" xfId="1" applyNumberFormat="1" applyFont="1" applyFill="1" applyAlignment="1" applyProtection="1">
      <alignment horizontal="center"/>
      <protection hidden="1"/>
    </xf>
    <xf numFmtId="0" fontId="1" fillId="0" borderId="0" xfId="1" applyFont="1" applyFill="1" applyAlignment="1" applyProtection="1">
      <alignment horizontal="left"/>
      <protection hidden="1"/>
    </xf>
    <xf numFmtId="0" fontId="2" fillId="0" borderId="0" xfId="1" applyFont="1" applyFill="1" applyAlignment="1" applyProtection="1">
      <protection hidden="1"/>
    </xf>
    <xf numFmtId="0" fontId="1" fillId="0" borderId="0" xfId="0" applyFont="1" applyFill="1" applyAlignment="1" applyProtection="1">
      <protection hidden="1"/>
    </xf>
    <xf numFmtId="0" fontId="1" fillId="0" borderId="0" xfId="1" applyFont="1" applyFill="1" applyProtection="1">
      <protection hidden="1"/>
    </xf>
    <xf numFmtId="164" fontId="3" fillId="0" borderId="0" xfId="0" applyNumberFormat="1" applyFont="1" applyFill="1" applyProtection="1">
      <protection hidden="1"/>
    </xf>
    <xf numFmtId="164" fontId="2" fillId="0" borderId="0" xfId="1" applyNumberFormat="1" applyFont="1" applyFill="1" applyBorder="1" applyAlignment="1" applyProtection="1">
      <alignment horizontal="center"/>
      <protection hidden="1"/>
    </xf>
    <xf numFmtId="0" fontId="2" fillId="0" borderId="0" xfId="0" applyFont="1" applyAlignment="1">
      <alignment vertical="center"/>
    </xf>
    <xf numFmtId="2" fontId="8" fillId="0" borderId="0" xfId="1" applyNumberFormat="1" applyFont="1" applyFill="1" applyAlignment="1" applyProtection="1">
      <alignment horizontal="center"/>
      <protection hidden="1"/>
    </xf>
    <xf numFmtId="168" fontId="10" fillId="0" borderId="0" xfId="2" applyFont="1" applyFill="1" applyProtection="1">
      <protection hidden="1"/>
    </xf>
    <xf numFmtId="168" fontId="10" fillId="0" borderId="0" xfId="2" applyFont="1" applyFill="1" applyAlignment="1" applyProtection="1">
      <alignment horizontal="center"/>
      <protection hidden="1"/>
    </xf>
    <xf numFmtId="8" fontId="2" fillId="0" borderId="0" xfId="0" applyNumberFormat="1" applyFont="1" applyFill="1" applyAlignment="1" applyProtection="1">
      <protection hidden="1"/>
    </xf>
    <xf numFmtId="0" fontId="8" fillId="0" borderId="0" xfId="1" applyFont="1" applyFill="1" applyAlignment="1" applyProtection="1">
      <alignment horizontal="left"/>
      <protection hidden="1"/>
    </xf>
    <xf numFmtId="167" fontId="2" fillId="0" borderId="0" xfId="1" applyNumberFormat="1" applyFont="1" applyFill="1" applyBorder="1" applyProtection="1">
      <protection hidden="1"/>
    </xf>
    <xf numFmtId="0" fontId="8" fillId="0" borderId="0" xfId="1" applyFont="1" applyFill="1" applyAlignment="1" applyProtection="1">
      <alignment horizontal="center"/>
      <protection hidden="1"/>
    </xf>
    <xf numFmtId="0" fontId="7" fillId="0" borderId="0" xfId="1" applyFont="1" applyFill="1" applyProtection="1">
      <protection hidden="1"/>
    </xf>
    <xf numFmtId="0" fontId="1" fillId="0" borderId="0" xfId="1" applyFont="1" applyFill="1" applyAlignment="1" applyProtection="1">
      <alignment horizontal="center"/>
      <protection hidden="1"/>
    </xf>
    <xf numFmtId="0" fontId="2" fillId="0" borderId="0" xfId="1" applyFont="1" applyFill="1" applyAlignment="1" applyProtection="1">
      <alignment horizontal="left" indent="3"/>
      <protection hidden="1"/>
    </xf>
    <xf numFmtId="2" fontId="2" fillId="0" borderId="0" xfId="1" applyNumberFormat="1" applyFont="1" applyFill="1" applyAlignment="1" applyProtection="1">
      <alignment horizontal="left" indent="3"/>
      <protection hidden="1"/>
    </xf>
    <xf numFmtId="167" fontId="2" fillId="0" borderId="0" xfId="0" applyNumberFormat="1" applyFont="1" applyFill="1" applyProtection="1">
      <protection hidden="1"/>
    </xf>
    <xf numFmtId="49" fontId="2" fillId="0" borderId="0" xfId="0" applyNumberFormat="1" applyFont="1" applyFill="1" applyAlignment="1" applyProtection="1">
      <alignment horizontal="center"/>
      <protection hidden="1"/>
    </xf>
    <xf numFmtId="167" fontId="2" fillId="0" borderId="1" xfId="0" applyNumberFormat="1" applyFont="1" applyFill="1" applyBorder="1" applyAlignment="1" applyProtection="1">
      <alignment horizontal="center"/>
      <protection hidden="1"/>
    </xf>
    <xf numFmtId="0" fontId="13" fillId="0" borderId="0" xfId="0" applyFont="1" applyFill="1" applyProtection="1">
      <protection hidden="1"/>
    </xf>
    <xf numFmtId="0" fontId="14" fillId="0" borderId="0" xfId="0" applyFont="1" applyFill="1" applyAlignment="1" applyProtection="1">
      <alignment horizontal="center"/>
      <protection hidden="1"/>
    </xf>
    <xf numFmtId="0" fontId="13" fillId="0" borderId="0" xfId="0" applyFont="1" applyFill="1" applyAlignment="1" applyProtection="1">
      <alignment horizontal="center"/>
      <protection hidden="1"/>
    </xf>
    <xf numFmtId="0" fontId="13" fillId="0" borderId="0" xfId="1" applyFont="1" applyFill="1" applyProtection="1">
      <protection hidden="1"/>
    </xf>
    <xf numFmtId="0" fontId="13" fillId="0" borderId="0" xfId="1" applyFont="1" applyFill="1" applyBorder="1" applyProtection="1">
      <protection hidden="1"/>
    </xf>
    <xf numFmtId="0" fontId="13" fillId="0" borderId="0" xfId="0" applyFont="1" applyFill="1" applyBorder="1" applyAlignment="1" applyProtection="1">
      <protection hidden="1"/>
    </xf>
    <xf numFmtId="0" fontId="13" fillId="0" borderId="0" xfId="0" applyFont="1" applyFill="1" applyAlignment="1" applyProtection="1">
      <protection hidden="1"/>
    </xf>
    <xf numFmtId="0" fontId="13" fillId="0" borderId="0" xfId="1" applyFont="1" applyFill="1" applyAlignment="1" applyProtection="1">
      <alignment horizontal="center"/>
      <protection hidden="1"/>
    </xf>
    <xf numFmtId="0" fontId="15" fillId="0" borderId="0" xfId="1" applyFont="1" applyFill="1" applyProtection="1">
      <protection hidden="1"/>
    </xf>
    <xf numFmtId="168" fontId="16" fillId="0" borderId="0" xfId="2" applyFont="1" applyFill="1" applyAlignment="1" applyProtection="1">
      <alignment horizontal="center"/>
      <protection hidden="1"/>
    </xf>
    <xf numFmtId="0" fontId="13" fillId="0" borderId="0" xfId="1" applyFont="1" applyFill="1" applyAlignment="1" applyProtection="1">
      <alignment horizontal="left" indent="3"/>
      <protection hidden="1"/>
    </xf>
    <xf numFmtId="169" fontId="2" fillId="0" borderId="1" xfId="1" applyNumberFormat="1" applyFont="1" applyFill="1" applyBorder="1" applyAlignment="1" applyProtection="1">
      <alignment horizontal="center"/>
      <protection hidden="1"/>
    </xf>
    <xf numFmtId="0" fontId="17" fillId="0" borderId="0" xfId="0" applyFont="1" applyFill="1" applyProtection="1">
      <protection hidden="1"/>
    </xf>
    <xf numFmtId="0" fontId="18" fillId="0" borderId="0" xfId="0" applyFont="1" applyAlignment="1">
      <alignment vertical="center"/>
    </xf>
    <xf numFmtId="0" fontId="7" fillId="0" borderId="0" xfId="0" applyFont="1" applyFill="1" applyProtection="1">
      <protection hidden="1"/>
    </xf>
    <xf numFmtId="170" fontId="2" fillId="0" borderId="0" xfId="0" applyNumberFormat="1" applyFont="1" applyFill="1" applyAlignment="1" applyProtection="1">
      <alignment horizontal="center"/>
      <protection hidden="1"/>
    </xf>
    <xf numFmtId="165" fontId="2" fillId="0" borderId="0" xfId="0" applyNumberFormat="1" applyFont="1" applyFill="1" applyAlignment="1" applyProtection="1">
      <alignment horizontal="center"/>
      <protection hidden="1"/>
    </xf>
    <xf numFmtId="165" fontId="2" fillId="0" borderId="0" xfId="0" applyNumberFormat="1" applyFont="1" applyFill="1" applyProtection="1">
      <protection hidden="1"/>
    </xf>
    <xf numFmtId="165" fontId="2" fillId="0" borderId="0" xfId="1" applyNumberFormat="1" applyFont="1" applyFill="1" applyAlignment="1" applyProtection="1">
      <alignment horizontal="center"/>
      <protection hidden="1"/>
    </xf>
    <xf numFmtId="165" fontId="2" fillId="0" borderId="0" xfId="1" applyNumberFormat="1" applyFont="1" applyFill="1" applyBorder="1" applyAlignment="1" applyProtection="1">
      <alignment horizontal="center"/>
      <protection hidden="1"/>
    </xf>
    <xf numFmtId="171" fontId="1" fillId="0" borderId="0" xfId="0" applyNumberFormat="1" applyFont="1" applyFill="1" applyAlignment="1" applyProtection="1">
      <alignment horizontal="center" wrapText="1"/>
      <protection hidden="1"/>
    </xf>
    <xf numFmtId="171" fontId="1" fillId="0" borderId="0" xfId="0" applyNumberFormat="1" applyFont="1" applyFill="1" applyAlignment="1" applyProtection="1">
      <alignment horizontal="center"/>
      <protection hidden="1"/>
    </xf>
    <xf numFmtId="14" fontId="0" fillId="0" borderId="0" xfId="0" applyNumberFormat="1"/>
    <xf numFmtId="0" fontId="0" fillId="0" borderId="0" xfId="0" applyAlignment="1">
      <alignment wrapText="1"/>
    </xf>
    <xf numFmtId="0" fontId="2" fillId="0" borderId="0" xfId="0" applyFont="1" applyAlignment="1" applyProtection="1">
      <alignment vertical="center"/>
      <protection hidden="1"/>
    </xf>
    <xf numFmtId="0" fontId="18" fillId="0" borderId="0" xfId="0" applyFont="1" applyAlignment="1" applyProtection="1">
      <alignment vertical="center"/>
      <protection hidden="1"/>
    </xf>
    <xf numFmtId="0" fontId="1" fillId="0" borderId="3" xfId="0" applyFont="1" applyFill="1" applyBorder="1" applyAlignment="1" applyProtection="1">
      <alignment horizontal="center"/>
      <protection hidden="1"/>
    </xf>
    <xf numFmtId="2" fontId="1" fillId="0" borderId="3" xfId="0" applyNumberFormat="1" applyFont="1" applyFill="1" applyBorder="1" applyAlignment="1" applyProtection="1">
      <alignment horizontal="center" wrapText="1"/>
      <protection hidden="1"/>
    </xf>
    <xf numFmtId="2" fontId="1" fillId="0" borderId="3" xfId="0" applyNumberFormat="1" applyFont="1" applyFill="1" applyBorder="1" applyAlignment="1" applyProtection="1">
      <alignment horizontal="center"/>
      <protection hidden="1"/>
    </xf>
    <xf numFmtId="0" fontId="1" fillId="0" borderId="3" xfId="0" applyFont="1" applyFill="1" applyBorder="1" applyAlignment="1" applyProtection="1">
      <alignment horizontal="center" wrapText="1"/>
      <protection hidden="1"/>
    </xf>
    <xf numFmtId="0" fontId="19" fillId="0" borderId="3" xfId="1" applyFont="1" applyFill="1" applyBorder="1" applyAlignment="1" applyProtection="1">
      <alignment horizontal="center" wrapText="1"/>
      <protection hidden="1"/>
    </xf>
    <xf numFmtId="165" fontId="2" fillId="0" borderId="0" xfId="0" applyNumberFormat="1" applyFont="1" applyFill="1" applyBorder="1" applyAlignment="1" applyProtection="1">
      <alignment horizontal="center"/>
      <protection hidden="1"/>
    </xf>
    <xf numFmtId="167" fontId="2" fillId="0" borderId="0" xfId="1" applyNumberFormat="1" applyFont="1" applyFill="1" applyBorder="1" applyAlignment="1" applyProtection="1">
      <alignment horizontal="left"/>
      <protection hidden="1"/>
    </xf>
    <xf numFmtId="167" fontId="2" fillId="0" borderId="0" xfId="1" applyNumberFormat="1" applyFont="1" applyFill="1" applyBorder="1" applyAlignment="1" applyProtection="1">
      <protection hidden="1"/>
    </xf>
    <xf numFmtId="0" fontId="2" fillId="0" borderId="0" xfId="0" applyFont="1" applyFill="1" applyAlignment="1" applyProtection="1">
      <alignment horizontal="right"/>
      <protection hidden="1"/>
    </xf>
    <xf numFmtId="0" fontId="2" fillId="0" borderId="0" xfId="1" applyFont="1" applyFill="1" applyAlignment="1" applyProtection="1">
      <alignment horizontal="right"/>
      <protection hidden="1"/>
    </xf>
    <xf numFmtId="0" fontId="1" fillId="0" borderId="0" xfId="1" quotePrefix="1" applyFont="1" applyFill="1" applyAlignment="1" applyProtection="1">
      <alignment horizontal="right"/>
      <protection hidden="1"/>
    </xf>
    <xf numFmtId="0" fontId="2" fillId="0" borderId="0" xfId="1" quotePrefix="1" applyFont="1" applyFill="1" applyAlignment="1" applyProtection="1">
      <alignment horizontal="right"/>
      <protection hidden="1"/>
    </xf>
    <xf numFmtId="164" fontId="2" fillId="0" borderId="0" xfId="1" applyNumberFormat="1" applyFont="1" applyFill="1" applyBorder="1" applyAlignment="1" applyProtection="1">
      <alignment horizontal="left"/>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1" fillId="2" borderId="3" xfId="0" applyFont="1" applyFill="1" applyBorder="1" applyAlignment="1" applyProtection="1">
      <alignment horizontal="center" wrapText="1"/>
      <protection hidden="1"/>
    </xf>
    <xf numFmtId="0" fontId="1" fillId="2" borderId="3" xfId="0" applyFont="1" applyFill="1" applyBorder="1" applyAlignment="1" applyProtection="1">
      <alignment horizontal="center"/>
      <protection hidden="1"/>
    </xf>
    <xf numFmtId="2" fontId="1" fillId="2" borderId="3" xfId="0" applyNumberFormat="1" applyFont="1" applyFill="1" applyBorder="1" applyAlignment="1" applyProtection="1">
      <alignment horizontal="center" wrapText="1"/>
      <protection hidden="1"/>
    </xf>
    <xf numFmtId="2" fontId="1" fillId="2" borderId="3" xfId="0" applyNumberFormat="1" applyFont="1" applyFill="1" applyBorder="1" applyAlignment="1" applyProtection="1">
      <alignment horizontal="center"/>
      <protection hidden="1"/>
    </xf>
    <xf numFmtId="165" fontId="2" fillId="2" borderId="0" xfId="0" applyNumberFormat="1" applyFont="1" applyFill="1" applyAlignment="1" applyProtection="1">
      <alignment horizontal="center"/>
      <protection hidden="1"/>
    </xf>
    <xf numFmtId="164" fontId="2" fillId="2" borderId="0" xfId="0" applyNumberFormat="1" applyFont="1" applyFill="1" applyAlignment="1" applyProtection="1">
      <alignment horizontal="center"/>
      <protection hidden="1"/>
    </xf>
    <xf numFmtId="165" fontId="2" fillId="2" borderId="0" xfId="0" applyNumberFormat="1" applyFont="1" applyFill="1" applyBorder="1" applyAlignment="1" applyProtection="1">
      <alignment horizontal="center"/>
      <protection hidden="1"/>
    </xf>
    <xf numFmtId="0" fontId="2" fillId="2" borderId="0" xfId="0" applyFont="1" applyFill="1" applyAlignment="1" applyProtection="1">
      <protection hidden="1"/>
    </xf>
    <xf numFmtId="167" fontId="2" fillId="2" borderId="0" xfId="1" applyNumberFormat="1" applyFont="1" applyFill="1" applyBorder="1" applyAlignment="1" applyProtection="1">
      <alignment horizontal="center"/>
      <protection hidden="1"/>
    </xf>
    <xf numFmtId="0" fontId="2" fillId="2" borderId="0" xfId="0" applyFont="1" applyFill="1" applyBorder="1" applyAlignment="1" applyProtection="1">
      <alignment horizontal="center"/>
      <protection hidden="1"/>
    </xf>
    <xf numFmtId="0" fontId="2" fillId="2" borderId="0" xfId="1" applyFont="1" applyFill="1" applyBorder="1" applyAlignment="1" applyProtection="1">
      <alignment horizontal="center"/>
      <protection hidden="1"/>
    </xf>
    <xf numFmtId="164" fontId="2" fillId="2" borderId="0" xfId="1" applyNumberFormat="1" applyFont="1" applyFill="1" applyBorder="1" applyAlignment="1" applyProtection="1">
      <alignment horizontal="center"/>
      <protection hidden="1"/>
    </xf>
    <xf numFmtId="164" fontId="2" fillId="2" borderId="4" xfId="0" applyNumberFormat="1"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0" borderId="0" xfId="1" applyFont="1" applyFill="1" applyBorder="1" applyAlignment="1" applyProtection="1">
      <alignment horizontal="left"/>
      <protection hidden="1"/>
    </xf>
    <xf numFmtId="169" fontId="2" fillId="2" borderId="0" xfId="0" applyNumberFormat="1" applyFont="1" applyFill="1" applyAlignment="1" applyProtection="1">
      <alignment horizontal="center"/>
      <protection hidden="1"/>
    </xf>
    <xf numFmtId="0" fontId="19" fillId="0" borderId="0" xfId="0" applyFont="1" applyFill="1" applyProtection="1">
      <protection hidden="1"/>
    </xf>
    <xf numFmtId="169" fontId="2" fillId="0" borderId="0" xfId="0" applyNumberFormat="1" applyFont="1" applyFill="1" applyAlignment="1" applyProtection="1">
      <alignment horizontal="center"/>
      <protection hidden="1"/>
    </xf>
    <xf numFmtId="0" fontId="3" fillId="2" borderId="0" xfId="0" applyFont="1" applyFill="1" applyProtection="1">
      <protection hidden="1"/>
    </xf>
    <xf numFmtId="0" fontId="2" fillId="3" borderId="4" xfId="0" applyFont="1" applyFill="1" applyBorder="1" applyAlignment="1" applyProtection="1">
      <alignment horizontal="center"/>
      <protection hidden="1"/>
    </xf>
    <xf numFmtId="10" fontId="2" fillId="3" borderId="5" xfId="0" applyNumberFormat="1" applyFont="1" applyFill="1" applyBorder="1" applyProtection="1">
      <protection hidden="1"/>
    </xf>
    <xf numFmtId="0" fontId="2" fillId="3" borderId="0" xfId="0" applyFont="1" applyFill="1" applyProtection="1">
      <protection hidden="1"/>
    </xf>
    <xf numFmtId="0" fontId="2" fillId="3" borderId="0" xfId="0" applyFont="1" applyFill="1" applyAlignment="1" applyProtection="1">
      <alignment horizontal="center"/>
      <protection hidden="1"/>
    </xf>
    <xf numFmtId="171" fontId="1" fillId="3" borderId="0" xfId="0" applyNumberFormat="1" applyFont="1" applyFill="1" applyAlignment="1" applyProtection="1">
      <alignment horizontal="center"/>
      <protection hidden="1"/>
    </xf>
    <xf numFmtId="0" fontId="1" fillId="3" borderId="3" xfId="0" applyFont="1" applyFill="1" applyBorder="1" applyAlignment="1" applyProtection="1">
      <alignment horizontal="center" wrapText="1"/>
      <protection hidden="1"/>
    </xf>
    <xf numFmtId="0" fontId="1" fillId="3" borderId="3" xfId="0" applyFont="1" applyFill="1" applyBorder="1" applyAlignment="1" applyProtection="1">
      <alignment horizontal="center"/>
      <protection hidden="1"/>
    </xf>
    <xf numFmtId="2" fontId="1" fillId="3" borderId="3" xfId="0" applyNumberFormat="1" applyFont="1" applyFill="1" applyBorder="1" applyAlignment="1" applyProtection="1">
      <alignment horizontal="center" wrapText="1"/>
      <protection hidden="1"/>
    </xf>
    <xf numFmtId="2" fontId="1" fillId="3" borderId="3" xfId="0" applyNumberFormat="1" applyFont="1" applyFill="1" applyBorder="1" applyAlignment="1" applyProtection="1">
      <alignment horizontal="center"/>
      <protection hidden="1"/>
    </xf>
    <xf numFmtId="165" fontId="2" fillId="3" borderId="0" xfId="0" applyNumberFormat="1" applyFont="1" applyFill="1" applyAlignment="1" applyProtection="1">
      <alignment horizontal="center"/>
      <protection hidden="1"/>
    </xf>
    <xf numFmtId="164" fontId="2" fillId="3" borderId="0" xfId="0" applyNumberFormat="1" applyFont="1" applyFill="1" applyAlignment="1" applyProtection="1">
      <alignment horizontal="center"/>
      <protection hidden="1"/>
    </xf>
    <xf numFmtId="165" fontId="2" fillId="3" borderId="0" xfId="0" applyNumberFormat="1" applyFont="1" applyFill="1" applyBorder="1" applyAlignment="1" applyProtection="1">
      <alignment horizontal="center"/>
      <protection hidden="1"/>
    </xf>
    <xf numFmtId="164" fontId="2" fillId="3" borderId="4" xfId="0" applyNumberFormat="1" applyFont="1" applyFill="1" applyBorder="1" applyAlignment="1" applyProtection="1">
      <alignment horizontal="center"/>
      <protection hidden="1"/>
    </xf>
    <xf numFmtId="0" fontId="2" fillId="3" borderId="5" xfId="0" applyFont="1" applyFill="1" applyBorder="1" applyAlignment="1" applyProtection="1">
      <alignment horizontal="center"/>
      <protection hidden="1"/>
    </xf>
    <xf numFmtId="0" fontId="2" fillId="3" borderId="0" xfId="0" applyFont="1" applyFill="1" applyAlignment="1" applyProtection="1">
      <protection hidden="1"/>
    </xf>
    <xf numFmtId="0" fontId="2" fillId="3" borderId="0" xfId="0" applyFont="1" applyFill="1" applyBorder="1" applyAlignment="1" applyProtection="1">
      <alignment horizontal="center"/>
      <protection hidden="1"/>
    </xf>
    <xf numFmtId="0" fontId="2" fillId="3" borderId="0" xfId="1" applyFont="1" applyFill="1" applyBorder="1" applyAlignment="1" applyProtection="1">
      <alignment horizontal="center"/>
      <protection hidden="1"/>
    </xf>
    <xf numFmtId="169" fontId="2" fillId="3" borderId="0" xfId="0" applyNumberFormat="1" applyFont="1" applyFill="1" applyAlignment="1" applyProtection="1">
      <alignment horizontal="center"/>
      <protection hidden="1"/>
    </xf>
    <xf numFmtId="0" fontId="2" fillId="2" borderId="3" xfId="0" applyFont="1" applyFill="1" applyBorder="1" applyAlignment="1" applyProtection="1">
      <protection hidden="1"/>
    </xf>
    <xf numFmtId="0" fontId="2" fillId="2" borderId="3" xfId="0" applyFont="1" applyFill="1" applyBorder="1" applyProtection="1">
      <protection hidden="1"/>
    </xf>
    <xf numFmtId="0" fontId="2" fillId="2" borderId="3" xfId="0" applyFont="1" applyFill="1" applyBorder="1" applyAlignment="1" applyProtection="1">
      <alignment horizontal="center"/>
      <protection hidden="1"/>
    </xf>
    <xf numFmtId="2" fontId="2" fillId="2" borderId="3" xfId="0" applyNumberFormat="1" applyFont="1" applyFill="1" applyBorder="1" applyAlignment="1" applyProtection="1">
      <alignment horizontal="center" wrapText="1"/>
      <protection hidden="1"/>
    </xf>
    <xf numFmtId="2" fontId="2" fillId="2" borderId="3" xfId="0" applyNumberFormat="1" applyFont="1" applyFill="1" applyBorder="1" applyAlignment="1" applyProtection="1">
      <alignment horizontal="center"/>
      <protection hidden="1"/>
    </xf>
    <xf numFmtId="164" fontId="2" fillId="0" borderId="0" xfId="0" applyNumberFormat="1" applyFont="1" applyFill="1" applyProtection="1">
      <protection hidden="1"/>
    </xf>
    <xf numFmtId="169" fontId="2" fillId="0" borderId="0" xfId="0" applyNumberFormat="1" applyFont="1" applyFill="1" applyProtection="1">
      <protection hidden="1"/>
    </xf>
    <xf numFmtId="0" fontId="3" fillId="3" borderId="0" xfId="0" applyFont="1" applyFill="1" applyProtection="1">
      <protection hidden="1"/>
    </xf>
    <xf numFmtId="172" fontId="2" fillId="3" borderId="0" xfId="3" applyNumberFormat="1" applyFont="1" applyFill="1" applyAlignment="1" applyProtection="1">
      <alignment horizontal="center"/>
      <protection hidden="1"/>
    </xf>
    <xf numFmtId="169" fontId="2" fillId="2" borderId="0" xfId="0" applyNumberFormat="1" applyFont="1" applyFill="1" applyProtection="1">
      <protection hidden="1"/>
    </xf>
    <xf numFmtId="172" fontId="2" fillId="2" borderId="0" xfId="3" applyNumberFormat="1" applyFont="1" applyFill="1" applyAlignment="1" applyProtection="1">
      <alignment horizontal="center"/>
      <protection hidden="1"/>
    </xf>
    <xf numFmtId="0" fontId="2" fillId="4" borderId="0" xfId="0" applyFont="1" applyFill="1" applyProtection="1">
      <protection hidden="1"/>
    </xf>
    <xf numFmtId="0" fontId="2" fillId="6" borderId="0" xfId="0" applyFont="1" applyFill="1" applyProtection="1">
      <protection hidden="1"/>
    </xf>
    <xf numFmtId="164" fontId="2" fillId="6" borderId="0" xfId="0" applyNumberFormat="1" applyFont="1" applyFill="1" applyAlignment="1" applyProtection="1">
      <alignment horizontal="center"/>
      <protection hidden="1"/>
    </xf>
    <xf numFmtId="0" fontId="2" fillId="7" borderId="0" xfId="0" applyFont="1" applyFill="1" applyProtection="1">
      <protection hidden="1"/>
    </xf>
    <xf numFmtId="164" fontId="2" fillId="7" borderId="0" xfId="0" applyNumberFormat="1" applyFont="1" applyFill="1" applyAlignment="1" applyProtection="1">
      <alignment horizontal="center"/>
      <protection hidden="1"/>
    </xf>
    <xf numFmtId="164" fontId="2" fillId="4" borderId="0" xfId="0" applyNumberFormat="1" applyFont="1" applyFill="1" applyAlignment="1" applyProtection="1">
      <alignment horizontal="center"/>
      <protection hidden="1"/>
    </xf>
    <xf numFmtId="164" fontId="2" fillId="3" borderId="1" xfId="0" applyNumberFormat="1" applyFont="1" applyFill="1" applyBorder="1" applyAlignment="1" applyProtection="1">
      <alignment horizontal="center"/>
      <protection hidden="1"/>
    </xf>
    <xf numFmtId="0" fontId="7" fillId="0" borderId="0" xfId="1" applyFont="1" applyAlignment="1" applyProtection="1">
      <alignment horizontal="left"/>
      <protection hidden="1"/>
    </xf>
    <xf numFmtId="0" fontId="9" fillId="0" borderId="0" xfId="1" applyFont="1" applyAlignment="1" applyProtection="1">
      <alignment horizontal="center"/>
      <protection hidden="1"/>
    </xf>
    <xf numFmtId="0" fontId="2" fillId="0" borderId="0" xfId="1" applyFont="1" applyProtection="1">
      <protection hidden="1"/>
    </xf>
    <xf numFmtId="0" fontId="2" fillId="0" borderId="0" xfId="1" applyFont="1" applyAlignment="1" applyProtection="1">
      <alignment horizontal="left"/>
      <protection hidden="1"/>
    </xf>
    <xf numFmtId="0" fontId="22" fillId="0" borderId="0" xfId="0" applyFont="1"/>
    <xf numFmtId="0" fontId="2" fillId="0" borderId="0" xfId="1"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Alignment="1" applyProtection="1">
      <alignment horizontal="right"/>
      <protection hidden="1"/>
    </xf>
    <xf numFmtId="0" fontId="22" fillId="0" borderId="0" xfId="0" applyFont="1" applyAlignment="1">
      <alignment vertical="center"/>
    </xf>
    <xf numFmtId="0" fontId="23" fillId="3" borderId="0" xfId="0" applyFont="1" applyFill="1" applyProtection="1">
      <protection hidden="1"/>
    </xf>
    <xf numFmtId="164" fontId="23" fillId="3" borderId="0" xfId="0" applyNumberFormat="1" applyFont="1" applyFill="1" applyAlignment="1" applyProtection="1">
      <alignment horizontal="center"/>
      <protection hidden="1"/>
    </xf>
    <xf numFmtId="0" fontId="23" fillId="3" borderId="0" xfId="1" applyFont="1" applyFill="1" applyBorder="1" applyAlignment="1" applyProtection="1">
      <alignment horizontal="center"/>
      <protection hidden="1"/>
    </xf>
    <xf numFmtId="0" fontId="23" fillId="2" borderId="0" xfId="0" applyFont="1" applyFill="1" applyProtection="1">
      <protection hidden="1"/>
    </xf>
    <xf numFmtId="0" fontId="23" fillId="2" borderId="0" xfId="0" applyFont="1" applyFill="1" applyAlignment="1" applyProtection="1">
      <alignment horizontal="center"/>
      <protection hidden="1"/>
    </xf>
    <xf numFmtId="164" fontId="23" fillId="2" borderId="0" xfId="0" applyNumberFormat="1" applyFont="1" applyFill="1" applyAlignment="1" applyProtection="1">
      <alignment horizontal="center"/>
      <protection hidden="1"/>
    </xf>
    <xf numFmtId="167" fontId="2" fillId="0" borderId="0" xfId="1" applyNumberFormat="1" applyFont="1" applyAlignment="1" applyProtection="1">
      <alignment horizontal="left"/>
      <protection hidden="1"/>
    </xf>
    <xf numFmtId="0" fontId="2" fillId="0" borderId="0" xfId="1" applyFont="1" applyAlignment="1" applyProtection="1">
      <alignment horizontal="left" indent="1"/>
      <protection hidden="1"/>
    </xf>
    <xf numFmtId="0" fontId="2" fillId="0" borderId="0" xfId="0" applyFont="1" applyProtection="1">
      <protection hidden="1"/>
    </xf>
    <xf numFmtId="0" fontId="22" fillId="0" borderId="0" xfId="0" applyFont="1" applyAlignment="1">
      <alignment horizontal="left" vertical="center"/>
    </xf>
    <xf numFmtId="0" fontId="23" fillId="3" borderId="0" xfId="0" applyFont="1" applyFill="1" applyAlignment="1" applyProtection="1">
      <alignment horizontal="center"/>
      <protection hidden="1"/>
    </xf>
    <xf numFmtId="164" fontId="23" fillId="5" borderId="0" xfId="0" applyNumberFormat="1" applyFont="1" applyFill="1" applyAlignment="1" applyProtection="1">
      <alignment horizontal="center"/>
      <protection hidden="1"/>
    </xf>
    <xf numFmtId="169" fontId="23" fillId="3" borderId="0" xfId="0" applyNumberFormat="1" applyFont="1" applyFill="1" applyAlignment="1" applyProtection="1">
      <alignment horizontal="center"/>
      <protection hidden="1"/>
    </xf>
    <xf numFmtId="0" fontId="13" fillId="0" borderId="0" xfId="0" applyFont="1" applyProtection="1">
      <protection hidden="1"/>
    </xf>
    <xf numFmtId="0" fontId="1" fillId="0" borderId="0" xfId="1" quotePrefix="1" applyFont="1" applyAlignment="1" applyProtection="1">
      <alignment horizontal="right"/>
      <protection hidden="1"/>
    </xf>
    <xf numFmtId="0" fontId="3" fillId="0" borderId="0" xfId="0" applyFont="1" applyProtection="1">
      <protection hidden="1"/>
    </xf>
    <xf numFmtId="0" fontId="15" fillId="0" borderId="0" xfId="1" applyFont="1" applyProtection="1">
      <protection hidden="1"/>
    </xf>
    <xf numFmtId="0" fontId="13" fillId="0" borderId="0" xfId="1" applyFont="1" applyProtection="1">
      <protection hidden="1"/>
    </xf>
    <xf numFmtId="0" fontId="2" fillId="8" borderId="0" xfId="0" applyFont="1" applyFill="1" applyProtection="1">
      <protection hidden="1"/>
    </xf>
    <xf numFmtId="0" fontId="1" fillId="0" borderId="3" xfId="1" applyFont="1" applyFill="1" applyBorder="1" applyAlignment="1" applyProtection="1">
      <alignment horizontal="center" wrapText="1"/>
      <protection hidden="1"/>
    </xf>
    <xf numFmtId="0" fontId="1" fillId="0" borderId="0" xfId="0" applyFont="1" applyProtection="1">
      <protection hidden="1"/>
    </xf>
    <xf numFmtId="0" fontId="2" fillId="0" borderId="0" xfId="0" applyFont="1" applyAlignment="1" applyProtection="1">
      <alignment horizontal="center"/>
      <protection hidden="1"/>
    </xf>
    <xf numFmtId="14" fontId="3" fillId="0" borderId="0" xfId="0" applyNumberFormat="1" applyFont="1" applyProtection="1">
      <protection hidden="1"/>
    </xf>
    <xf numFmtId="0" fontId="19" fillId="0" borderId="0" xfId="0" applyFont="1" applyProtection="1">
      <protection hidden="1"/>
    </xf>
    <xf numFmtId="0" fontId="1" fillId="0" borderId="3" xfId="0" applyFont="1" applyBorder="1" applyAlignment="1" applyProtection="1">
      <alignment horizontal="center" wrapText="1"/>
      <protection hidden="1"/>
    </xf>
    <xf numFmtId="0" fontId="1" fillId="0" borderId="3" xfId="0" applyFont="1" applyBorder="1" applyAlignment="1" applyProtection="1">
      <alignment horizontal="center"/>
      <protection hidden="1"/>
    </xf>
    <xf numFmtId="2" fontId="1" fillId="0" borderId="3" xfId="0" applyNumberFormat="1" applyFont="1" applyBorder="1" applyAlignment="1" applyProtection="1">
      <alignment horizontal="center" wrapText="1"/>
      <protection hidden="1"/>
    </xf>
    <xf numFmtId="2" fontId="1" fillId="0" borderId="3" xfId="0" applyNumberFormat="1" applyFont="1" applyBorder="1" applyAlignment="1" applyProtection="1">
      <alignment horizontal="center"/>
      <protection hidden="1"/>
    </xf>
    <xf numFmtId="171" fontId="1" fillId="0" borderId="0" xfId="0" applyNumberFormat="1" applyFont="1" applyAlignment="1" applyProtection="1">
      <alignment horizontal="center" wrapText="1"/>
      <protection hidden="1"/>
    </xf>
    <xf numFmtId="171" fontId="1" fillId="0" borderId="0" xfId="0" applyNumberFormat="1" applyFont="1" applyAlignment="1" applyProtection="1">
      <alignment horizontal="center"/>
      <protection hidden="1"/>
    </xf>
    <xf numFmtId="0" fontId="2" fillId="0" borderId="0" xfId="0" applyFont="1" applyAlignment="1" applyProtection="1">
      <alignment wrapText="1"/>
      <protection hidden="1"/>
    </xf>
    <xf numFmtId="164" fontId="2" fillId="0" borderId="0" xfId="0" applyNumberFormat="1" applyFont="1" applyAlignment="1" applyProtection="1">
      <alignment horizontal="center"/>
      <protection hidden="1"/>
    </xf>
    <xf numFmtId="165" fontId="2" fillId="0" borderId="0" xfId="0" applyNumberFormat="1" applyFont="1" applyAlignment="1" applyProtection="1">
      <alignment horizontal="center"/>
      <protection hidden="1"/>
    </xf>
    <xf numFmtId="49" fontId="2" fillId="0" borderId="0" xfId="0" applyNumberFormat="1" applyFont="1" applyAlignment="1" applyProtection="1">
      <alignment horizontal="center"/>
      <protection hidden="1"/>
    </xf>
    <xf numFmtId="164" fontId="13" fillId="0" borderId="0" xfId="0" applyNumberFormat="1" applyFont="1" applyAlignment="1" applyProtection="1">
      <alignment horizontal="center"/>
      <protection hidden="1"/>
    </xf>
    <xf numFmtId="0" fontId="1" fillId="0" borderId="0" xfId="1" applyFont="1" applyAlignment="1" applyProtection="1">
      <alignment horizontal="left" indent="1"/>
      <protection hidden="1"/>
    </xf>
    <xf numFmtId="165" fontId="3" fillId="0" borderId="0" xfId="1" applyNumberFormat="1" applyFont="1" applyAlignment="1" applyProtection="1">
      <alignment horizontal="center"/>
      <protection hidden="1"/>
    </xf>
    <xf numFmtId="165" fontId="3"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0" fontId="19" fillId="0" borderId="3" xfId="1" applyFont="1" applyBorder="1" applyAlignment="1" applyProtection="1">
      <alignment horizontal="center" wrapText="1"/>
      <protection hidden="1"/>
    </xf>
    <xf numFmtId="169" fontId="2" fillId="0" borderId="0" xfId="0" applyNumberFormat="1" applyFont="1" applyAlignment="1" applyProtection="1">
      <alignment horizontal="center"/>
      <protection hidden="1"/>
    </xf>
    <xf numFmtId="165" fontId="2" fillId="0" borderId="0" xfId="1" applyNumberFormat="1" applyFont="1" applyAlignment="1" applyProtection="1">
      <alignment horizontal="center"/>
      <protection hidden="1"/>
    </xf>
    <xf numFmtId="2" fontId="2" fillId="0" borderId="0" xfId="0" applyNumberFormat="1" applyFont="1" applyAlignment="1" applyProtection="1">
      <alignment horizontal="center"/>
      <protection hidden="1"/>
    </xf>
    <xf numFmtId="0" fontId="13" fillId="0" borderId="0" xfId="1" applyFont="1" applyAlignment="1" applyProtection="1">
      <alignment horizontal="center"/>
      <protection hidden="1"/>
    </xf>
    <xf numFmtId="2" fontId="2" fillId="0" borderId="0" xfId="1" applyNumberFormat="1" applyFont="1" applyAlignment="1" applyProtection="1">
      <alignment horizontal="center"/>
      <protection hidden="1"/>
    </xf>
    <xf numFmtId="0" fontId="7" fillId="0" borderId="0" xfId="0" applyFont="1" applyProtection="1">
      <protection hidden="1"/>
    </xf>
    <xf numFmtId="0" fontId="8" fillId="0" borderId="0" xfId="1" applyFont="1" applyProtection="1">
      <protection hidden="1"/>
    </xf>
    <xf numFmtId="0" fontId="9" fillId="0" borderId="0" xfId="0" applyFont="1" applyProtection="1">
      <protection hidden="1"/>
    </xf>
    <xf numFmtId="167" fontId="3" fillId="0" borderId="0" xfId="0" applyNumberFormat="1" applyFont="1" applyProtection="1">
      <protection hidden="1"/>
    </xf>
    <xf numFmtId="0" fontId="2" fillId="0" borderId="0" xfId="1" applyFont="1" applyAlignment="1" applyProtection="1">
      <alignment horizontal="left" indent="2"/>
      <protection hidden="1"/>
    </xf>
    <xf numFmtId="167" fontId="2" fillId="0" borderId="0" xfId="1" applyNumberFormat="1" applyFont="1" applyAlignment="1" applyProtection="1">
      <alignment horizontal="left" indent="1"/>
      <protection hidden="1"/>
    </xf>
    <xf numFmtId="0" fontId="23" fillId="3" borderId="0" xfId="1" applyFont="1" applyFill="1" applyAlignment="1" applyProtection="1">
      <alignment horizontal="center"/>
      <protection hidden="1"/>
    </xf>
    <xf numFmtId="164" fontId="2" fillId="0" borderId="0" xfId="1" applyNumberFormat="1" applyFont="1" applyAlignment="1" applyProtection="1">
      <alignment horizontal="left"/>
      <protection hidden="1"/>
    </xf>
    <xf numFmtId="164" fontId="3" fillId="0" borderId="0" xfId="0" applyNumberFormat="1" applyFont="1" applyProtection="1">
      <protection hidden="1"/>
    </xf>
    <xf numFmtId="2" fontId="1" fillId="0" borderId="0" xfId="1" applyNumberFormat="1" applyFont="1" applyAlignment="1" applyProtection="1">
      <alignment horizontal="center"/>
      <protection hidden="1"/>
    </xf>
    <xf numFmtId="164" fontId="2" fillId="0" borderId="0" xfId="1" applyNumberFormat="1" applyFont="1" applyAlignment="1" applyProtection="1">
      <alignment horizontal="center"/>
      <protection hidden="1"/>
    </xf>
    <xf numFmtId="2" fontId="8" fillId="0" borderId="0" xfId="1" applyNumberFormat="1" applyFont="1" applyAlignment="1" applyProtection="1">
      <alignment horizontal="center"/>
      <protection hidden="1"/>
    </xf>
    <xf numFmtId="8" fontId="2" fillId="0" borderId="0" xfId="0" applyNumberFormat="1" applyFont="1" applyProtection="1">
      <protection hidden="1"/>
    </xf>
    <xf numFmtId="167" fontId="2" fillId="0" borderId="0" xfId="1" applyNumberFormat="1" applyFont="1" applyProtection="1">
      <protection hidden="1"/>
    </xf>
    <xf numFmtId="0" fontId="2" fillId="0" borderId="0" xfId="1" applyFont="1" applyAlignment="1" applyProtection="1">
      <alignment horizontal="right"/>
      <protection hidden="1"/>
    </xf>
    <xf numFmtId="0" fontId="8" fillId="0" borderId="0" xfId="1" applyFont="1" applyAlignment="1" applyProtection="1">
      <alignment horizontal="center"/>
      <protection hidden="1"/>
    </xf>
    <xf numFmtId="0" fontId="7" fillId="0" borderId="0" xfId="1" applyFont="1" applyProtection="1">
      <protection hidden="1"/>
    </xf>
    <xf numFmtId="0" fontId="1" fillId="0" borderId="0" xfId="1" applyFont="1" applyAlignment="1" applyProtection="1">
      <alignment horizontal="center"/>
      <protection hidden="1"/>
    </xf>
    <xf numFmtId="0" fontId="2" fillId="0" borderId="0" xfId="1" applyFont="1" applyAlignment="1" applyProtection="1">
      <alignment horizontal="left" indent="3"/>
      <protection hidden="1"/>
    </xf>
    <xf numFmtId="0" fontId="13" fillId="0" borderId="0" xfId="1" applyFont="1" applyAlignment="1" applyProtection="1">
      <alignment horizontal="left" indent="3"/>
      <protection hidden="1"/>
    </xf>
    <xf numFmtId="2" fontId="2" fillId="0" borderId="0" xfId="1" applyNumberFormat="1" applyFont="1" applyAlignment="1" applyProtection="1">
      <alignment horizontal="left" indent="3"/>
      <protection hidden="1"/>
    </xf>
    <xf numFmtId="167" fontId="2" fillId="0" borderId="0" xfId="0" applyNumberFormat="1" applyFont="1" applyProtection="1">
      <protection hidden="1"/>
    </xf>
    <xf numFmtId="0" fontId="2" fillId="0" borderId="0" xfId="0" applyNumberFormat="1" applyFont="1" applyFill="1" applyProtection="1">
      <protection hidden="1"/>
    </xf>
    <xf numFmtId="0" fontId="0" fillId="2" borderId="0" xfId="0" applyFill="1"/>
    <xf numFmtId="0" fontId="0" fillId="3" borderId="0" xfId="0" applyFill="1"/>
    <xf numFmtId="0" fontId="2" fillId="3" borderId="0" xfId="0" applyFont="1" applyFill="1" applyAlignment="1" applyProtection="1">
      <alignment horizontal="left"/>
      <protection hidden="1"/>
    </xf>
    <xf numFmtId="10" fontId="2" fillId="3" borderId="0" xfId="3" applyNumberFormat="1" applyFont="1" applyFill="1" applyAlignment="1" applyProtection="1">
      <alignment horizontal="center"/>
      <protection hidden="1"/>
    </xf>
    <xf numFmtId="0" fontId="2" fillId="3" borderId="0" xfId="0" applyFont="1" applyFill="1" applyAlignment="1" applyProtection="1">
      <alignment horizontal="right"/>
      <protection hidden="1"/>
    </xf>
    <xf numFmtId="164" fontId="2" fillId="3" borderId="3" xfId="0" applyNumberFormat="1" applyFont="1" applyFill="1" applyBorder="1" applyAlignment="1" applyProtection="1">
      <alignment horizontal="center"/>
      <protection hidden="1"/>
    </xf>
    <xf numFmtId="14" fontId="2" fillId="3" borderId="3" xfId="0" applyNumberFormat="1" applyFont="1" applyFill="1" applyBorder="1" applyProtection="1">
      <protection hidden="1"/>
    </xf>
    <xf numFmtId="0" fontId="2" fillId="4" borderId="0" xfId="0" applyFont="1" applyFill="1" applyAlignment="1" applyProtection="1">
      <alignment horizontal="center"/>
      <protection hidden="1"/>
    </xf>
  </cellXfs>
  <cellStyles count="4">
    <cellStyle name="Normal" xfId="0" builtinId="0"/>
    <cellStyle name="Normal_SalaryOrdinance_01-03CEQ" xfId="1" xr:uid="{00000000-0005-0000-0000-000001000000}"/>
    <cellStyle name="Normal_SALORD2001-2003CLB" xfId="2" xr:uid="{00000000-0005-0000-0000-000002000000}"/>
    <cellStyle name="Percent" xfId="3" builtinId="5"/>
  </cellStyles>
  <dxfs count="0"/>
  <tableStyles count="1" defaultTableStyle="TableStyleMedium2" defaultPivotStyle="PivotStyleLight16">
    <tableStyle name="Invisible" pivot="0" table="0" count="0" xr9:uid="{91462756-B36C-4FB1-BC55-3D62354B3E0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4"/>
  </sheetPr>
  <dimension ref="A1:W191"/>
  <sheetViews>
    <sheetView topLeftCell="A49" workbookViewId="0">
      <selection activeCell="C75" sqref="C75"/>
    </sheetView>
  </sheetViews>
  <sheetFormatPr defaultColWidth="9.140625" defaultRowHeight="12.75" x14ac:dyDescent="0.2"/>
  <cols>
    <col min="1" max="1" width="10.140625" style="2" customWidth="1"/>
    <col min="2" max="2" width="7.85546875" style="2" customWidth="1"/>
    <col min="3" max="3" width="9.5703125" style="2" customWidth="1"/>
    <col min="4" max="4" width="35.42578125" style="2" customWidth="1"/>
    <col min="5" max="6" width="7.5703125" style="2" customWidth="1"/>
    <col min="7" max="7" width="14.140625" style="2" customWidth="1"/>
    <col min="8" max="8" width="13.5703125" style="2" customWidth="1"/>
    <col min="9" max="9" width="16.42578125" style="2" bestFit="1" customWidth="1"/>
    <col min="10" max="10" width="15.5703125" style="2" customWidth="1"/>
    <col min="11" max="11" width="9.140625" style="2"/>
    <col min="12" max="22" width="9.140625" style="5"/>
    <col min="23" max="16384" width="9.140625" style="2"/>
  </cols>
  <sheetData>
    <row r="1" spans="1:23" x14ac:dyDescent="0.2">
      <c r="A1" s="1" t="s">
        <v>0</v>
      </c>
      <c r="D1" s="3"/>
      <c r="I1" s="4"/>
      <c r="J1" s="4"/>
    </row>
    <row r="2" spans="1:23" x14ac:dyDescent="0.2">
      <c r="A2" s="1" t="s">
        <v>1</v>
      </c>
      <c r="D2" s="3"/>
      <c r="I2" s="4"/>
      <c r="J2" s="4"/>
      <c r="L2" s="6"/>
      <c r="Q2" s="6"/>
    </row>
    <row r="3" spans="1:23" x14ac:dyDescent="0.2">
      <c r="A3" s="1"/>
      <c r="D3" s="3"/>
      <c r="I3" s="4"/>
      <c r="J3" s="4"/>
    </row>
    <row r="4" spans="1:23" x14ac:dyDescent="0.2">
      <c r="A4" s="7" t="s">
        <v>2</v>
      </c>
      <c r="B4" s="7" t="s">
        <v>3</v>
      </c>
      <c r="C4" s="7" t="s">
        <v>4</v>
      </c>
      <c r="D4" s="8" t="s">
        <v>5</v>
      </c>
      <c r="E4" s="7" t="s">
        <v>6</v>
      </c>
      <c r="F4" s="7" t="s">
        <v>7</v>
      </c>
      <c r="G4" s="7" t="s">
        <v>8</v>
      </c>
      <c r="H4" s="9" t="s">
        <v>9</v>
      </c>
      <c r="I4" s="10" t="s">
        <v>10</v>
      </c>
      <c r="J4" s="10"/>
      <c r="K4" s="7"/>
      <c r="L4" s="11"/>
      <c r="M4" s="12"/>
      <c r="N4" s="13"/>
      <c r="O4" s="13"/>
      <c r="Q4" s="11"/>
      <c r="R4" s="12"/>
      <c r="S4" s="13"/>
      <c r="T4" s="13"/>
    </row>
    <row r="5" spans="1:23" ht="29.25" customHeight="1" x14ac:dyDescent="0.2">
      <c r="A5" s="4" t="s">
        <v>11</v>
      </c>
      <c r="B5" s="4">
        <v>2</v>
      </c>
      <c r="C5" s="4" t="s">
        <v>12</v>
      </c>
      <c r="D5" s="14" t="s">
        <v>13</v>
      </c>
      <c r="E5" s="4">
        <v>303</v>
      </c>
      <c r="F5" s="4">
        <v>6</v>
      </c>
      <c r="G5" s="4" t="s">
        <v>14</v>
      </c>
      <c r="H5" s="15">
        <v>26.921232318299996</v>
      </c>
      <c r="I5" s="15">
        <v>28.083685403350767</v>
      </c>
      <c r="J5" s="4"/>
      <c r="K5" s="4"/>
      <c r="L5" s="16"/>
      <c r="M5" s="16"/>
      <c r="N5" s="16"/>
      <c r="O5" s="16"/>
      <c r="Q5" s="16"/>
      <c r="R5" s="17"/>
      <c r="S5" s="16"/>
      <c r="T5" s="16"/>
    </row>
    <row r="6" spans="1:23" x14ac:dyDescent="0.2">
      <c r="A6" s="4" t="s">
        <v>11</v>
      </c>
      <c r="B6" s="4">
        <v>2</v>
      </c>
      <c r="C6" s="4" t="s">
        <v>15</v>
      </c>
      <c r="D6" s="3" t="s">
        <v>16</v>
      </c>
      <c r="E6" s="4">
        <v>283</v>
      </c>
      <c r="F6" s="4">
        <v>6</v>
      </c>
      <c r="G6" s="4" t="s">
        <v>14</v>
      </c>
      <c r="H6" s="15">
        <v>25.119710822240616</v>
      </c>
      <c r="I6" s="15">
        <v>27.30871667998359</v>
      </c>
      <c r="J6" s="4"/>
      <c r="K6" s="16"/>
      <c r="L6" s="16"/>
      <c r="M6" s="16"/>
      <c r="N6" s="16"/>
      <c r="P6" s="17"/>
      <c r="Q6" s="16"/>
      <c r="R6" s="16"/>
      <c r="S6" s="16"/>
      <c r="V6" s="2"/>
    </row>
    <row r="7" spans="1:23" x14ac:dyDescent="0.2">
      <c r="A7" s="4" t="s">
        <v>11</v>
      </c>
      <c r="B7" s="4">
        <v>2</v>
      </c>
      <c r="C7" s="4" t="s">
        <v>17</v>
      </c>
      <c r="D7" s="3" t="s">
        <v>18</v>
      </c>
      <c r="E7" s="4">
        <v>335</v>
      </c>
      <c r="F7" s="4">
        <v>7</v>
      </c>
      <c r="G7" s="4" t="s">
        <v>14</v>
      </c>
      <c r="H7" s="15">
        <v>29.318019645351555</v>
      </c>
      <c r="I7" s="15">
        <v>31.666511820077332</v>
      </c>
      <c r="J7" s="4"/>
      <c r="K7" s="16"/>
      <c r="L7" s="16"/>
      <c r="M7" s="16"/>
      <c r="N7" s="16"/>
      <c r="P7" s="17"/>
      <c r="Q7" s="16"/>
      <c r="R7" s="16"/>
      <c r="S7" s="16"/>
      <c r="V7" s="2"/>
    </row>
    <row r="8" spans="1:23" x14ac:dyDescent="0.2">
      <c r="A8" s="4" t="s">
        <v>11</v>
      </c>
      <c r="B8" s="4">
        <v>2</v>
      </c>
      <c r="C8" s="4" t="s">
        <v>19</v>
      </c>
      <c r="D8" s="3" t="s">
        <v>20</v>
      </c>
      <c r="E8" s="4">
        <v>393</v>
      </c>
      <c r="F8" s="4">
        <v>8</v>
      </c>
      <c r="G8" s="4" t="s">
        <v>14</v>
      </c>
      <c r="H8" s="15">
        <v>31.799042703203902</v>
      </c>
      <c r="I8" s="15">
        <v>34.91688788591015</v>
      </c>
      <c r="J8" s="4"/>
      <c r="K8" s="16"/>
      <c r="L8" s="16"/>
      <c r="M8" s="16"/>
      <c r="N8" s="16"/>
      <c r="P8" s="17"/>
      <c r="Q8" s="16"/>
      <c r="R8" s="16"/>
      <c r="S8" s="16"/>
      <c r="V8" s="2"/>
    </row>
    <row r="9" spans="1:23" x14ac:dyDescent="0.2">
      <c r="A9" s="4" t="s">
        <v>11</v>
      </c>
      <c r="B9" s="4">
        <v>2</v>
      </c>
      <c r="C9" s="4" t="s">
        <v>21</v>
      </c>
      <c r="D9" s="14" t="s">
        <v>22</v>
      </c>
      <c r="E9" s="4">
        <v>295</v>
      </c>
      <c r="F9" s="4">
        <v>6</v>
      </c>
      <c r="G9" s="4" t="s">
        <v>14</v>
      </c>
      <c r="H9" s="15">
        <v>25.937358982546868</v>
      </c>
      <c r="I9" s="15">
        <v>27.807392206324209</v>
      </c>
      <c r="J9" s="4"/>
      <c r="K9" s="16"/>
      <c r="L9" s="16"/>
      <c r="M9" s="16"/>
      <c r="N9" s="16"/>
      <c r="P9" s="17"/>
      <c r="Q9" s="16"/>
      <c r="R9" s="16"/>
      <c r="S9" s="16"/>
      <c r="V9" s="2"/>
    </row>
    <row r="10" spans="1:23" x14ac:dyDescent="0.2">
      <c r="A10" s="4" t="s">
        <v>11</v>
      </c>
      <c r="B10" s="4">
        <v>2</v>
      </c>
      <c r="C10" s="4" t="s">
        <v>23</v>
      </c>
      <c r="D10" s="3" t="s">
        <v>24</v>
      </c>
      <c r="E10" s="4">
        <v>295</v>
      </c>
      <c r="F10" s="4">
        <v>6</v>
      </c>
      <c r="G10" s="4" t="s">
        <v>14</v>
      </c>
      <c r="H10" s="15">
        <v>26.921232318299996</v>
      </c>
      <c r="I10" s="15">
        <v>28.083685403350767</v>
      </c>
      <c r="J10" s="4"/>
      <c r="K10" s="4"/>
      <c r="L10" s="16"/>
      <c r="M10" s="16"/>
      <c r="N10" s="16"/>
      <c r="O10" s="16"/>
      <c r="Q10" s="16"/>
      <c r="R10" s="17"/>
      <c r="S10" s="16"/>
      <c r="T10" s="16"/>
    </row>
    <row r="11" spans="1:23" x14ac:dyDescent="0.2">
      <c r="A11" s="4" t="s">
        <v>11</v>
      </c>
      <c r="B11" s="4">
        <v>2</v>
      </c>
      <c r="C11" s="4" t="s">
        <v>25</v>
      </c>
      <c r="D11" s="3" t="s">
        <v>26</v>
      </c>
      <c r="E11" s="4"/>
      <c r="F11" s="4"/>
      <c r="G11" s="4"/>
      <c r="H11" s="4" t="s">
        <v>27</v>
      </c>
      <c r="I11" s="15">
        <v>29.616698625478506</v>
      </c>
      <c r="J11" s="4"/>
      <c r="K11" s="4"/>
      <c r="L11" s="16"/>
      <c r="M11" s="16"/>
      <c r="N11" s="16"/>
      <c r="O11" s="16"/>
      <c r="Q11" s="16"/>
      <c r="R11" s="17"/>
      <c r="S11" s="16"/>
      <c r="T11" s="16"/>
    </row>
    <row r="12" spans="1:23" s="5" customFormat="1" x14ac:dyDescent="0.2">
      <c r="A12" s="4" t="s">
        <v>11</v>
      </c>
      <c r="B12" s="4">
        <v>2</v>
      </c>
      <c r="C12" s="4" t="s">
        <v>28</v>
      </c>
      <c r="D12" s="3" t="s">
        <v>29</v>
      </c>
      <c r="E12" s="4"/>
      <c r="F12" s="4"/>
      <c r="G12" s="4"/>
      <c r="H12" s="4"/>
      <c r="I12" s="4" t="s">
        <v>30</v>
      </c>
      <c r="J12" s="4" t="s">
        <v>30</v>
      </c>
      <c r="K12" s="4"/>
      <c r="L12" s="16"/>
      <c r="M12" s="16"/>
      <c r="N12" s="16"/>
      <c r="O12" s="16"/>
      <c r="Q12" s="17"/>
      <c r="R12" s="17"/>
      <c r="S12" s="16"/>
      <c r="T12" s="16"/>
      <c r="W12" s="2"/>
    </row>
    <row r="13" spans="1:23" s="5" customFormat="1" x14ac:dyDescent="0.2">
      <c r="A13" s="2"/>
      <c r="B13" s="2"/>
      <c r="C13" s="2"/>
      <c r="D13" s="18" t="s">
        <v>31</v>
      </c>
      <c r="E13" s="19"/>
      <c r="F13" s="19"/>
      <c r="G13" s="20" t="s">
        <v>14</v>
      </c>
      <c r="H13" s="4" t="s">
        <v>27</v>
      </c>
      <c r="I13" s="21">
        <v>26.582220053002903</v>
      </c>
      <c r="J13" s="4"/>
      <c r="K13" s="4"/>
      <c r="L13" s="16"/>
      <c r="M13" s="16"/>
      <c r="N13" s="16"/>
      <c r="O13" s="16"/>
      <c r="Q13" s="22"/>
      <c r="R13" s="22"/>
      <c r="S13" s="16"/>
      <c r="T13" s="16"/>
      <c r="W13" s="2"/>
    </row>
    <row r="14" spans="1:23" s="5" customFormat="1" x14ac:dyDescent="0.2">
      <c r="A14" s="2"/>
      <c r="B14" s="2"/>
      <c r="C14" s="2"/>
      <c r="D14" s="18" t="s">
        <v>32</v>
      </c>
      <c r="E14" s="19"/>
      <c r="F14" s="19"/>
      <c r="G14" s="20" t="s">
        <v>14</v>
      </c>
      <c r="H14" s="4" t="s">
        <v>27</v>
      </c>
      <c r="I14" s="21">
        <v>27.484296324444056</v>
      </c>
      <c r="J14" s="4" t="s">
        <v>30</v>
      </c>
      <c r="K14" s="4"/>
      <c r="L14" s="16"/>
      <c r="M14" s="16"/>
      <c r="N14" s="16"/>
      <c r="O14" s="16"/>
      <c r="Q14" s="22"/>
      <c r="R14" s="22"/>
      <c r="S14" s="16"/>
      <c r="T14" s="16"/>
      <c r="W14" s="2"/>
    </row>
    <row r="15" spans="1:23" s="5" customFormat="1" x14ac:dyDescent="0.2">
      <c r="A15" s="2"/>
      <c r="B15" s="2"/>
      <c r="C15" s="2"/>
      <c r="D15" s="18" t="s">
        <v>33</v>
      </c>
      <c r="E15" s="19"/>
      <c r="F15" s="19"/>
      <c r="G15" s="20" t="s">
        <v>14</v>
      </c>
      <c r="H15" s="4" t="s">
        <v>27</v>
      </c>
      <c r="I15" s="21">
        <v>28.195097091455537</v>
      </c>
      <c r="J15" s="4" t="s">
        <v>30</v>
      </c>
      <c r="K15" s="4"/>
      <c r="L15" s="16"/>
      <c r="M15" s="16"/>
      <c r="N15" s="16"/>
      <c r="O15" s="16"/>
      <c r="Q15" s="22"/>
      <c r="R15" s="22"/>
      <c r="S15" s="16"/>
      <c r="T15" s="16"/>
      <c r="W15" s="2"/>
    </row>
    <row r="16" spans="1:23" s="5" customFormat="1" x14ac:dyDescent="0.2">
      <c r="A16" s="3"/>
      <c r="B16" s="3"/>
      <c r="C16" s="3"/>
      <c r="D16" s="23" t="s">
        <v>34</v>
      </c>
      <c r="E16" s="24"/>
      <c r="F16" s="24"/>
      <c r="G16" s="25" t="s">
        <v>14</v>
      </c>
      <c r="H16" s="4" t="s">
        <v>27</v>
      </c>
      <c r="I16" s="21">
        <v>28.905897858467021</v>
      </c>
      <c r="J16" s="4" t="s">
        <v>30</v>
      </c>
      <c r="K16" s="4"/>
      <c r="L16" s="16"/>
      <c r="M16" s="16"/>
      <c r="N16" s="16"/>
      <c r="O16" s="16"/>
      <c r="Q16" s="26"/>
      <c r="R16" s="26"/>
      <c r="S16" s="16"/>
      <c r="T16" s="27"/>
      <c r="W16" s="2"/>
    </row>
    <row r="17" spans="1:23" s="5" customFormat="1" x14ac:dyDescent="0.2">
      <c r="A17" s="3"/>
      <c r="B17" s="3"/>
      <c r="C17" s="3"/>
      <c r="D17" s="23" t="s">
        <v>35</v>
      </c>
      <c r="E17" s="24"/>
      <c r="F17" s="24"/>
      <c r="G17" s="25"/>
      <c r="H17" s="4"/>
      <c r="I17" s="21">
        <v>29.616698625478506</v>
      </c>
      <c r="J17" s="4"/>
      <c r="K17" s="4"/>
      <c r="L17" s="16"/>
      <c r="M17" s="16"/>
      <c r="N17" s="16"/>
      <c r="O17" s="16"/>
      <c r="Q17" s="26"/>
      <c r="R17" s="26"/>
      <c r="S17" s="16"/>
      <c r="T17" s="27"/>
      <c r="W17" s="2"/>
    </row>
    <row r="18" spans="1:23" s="5" customFormat="1" x14ac:dyDescent="0.2">
      <c r="A18" s="3"/>
      <c r="B18" s="3"/>
      <c r="C18" s="3"/>
      <c r="D18" s="23"/>
      <c r="E18" s="24"/>
      <c r="F18" s="24"/>
      <c r="G18" s="25"/>
      <c r="H18" s="4"/>
      <c r="I18" s="21"/>
      <c r="J18" s="4"/>
      <c r="K18" s="4"/>
      <c r="L18" s="16"/>
      <c r="M18" s="16"/>
      <c r="N18" s="16"/>
      <c r="O18" s="16"/>
      <c r="Q18" s="26"/>
      <c r="R18" s="26"/>
      <c r="S18" s="16"/>
      <c r="T18" s="27"/>
      <c r="W18" s="2"/>
    </row>
    <row r="19" spans="1:23" s="5" customFormat="1" x14ac:dyDescent="0.2">
      <c r="A19" s="3" t="s">
        <v>11</v>
      </c>
      <c r="B19" s="3">
        <v>2</v>
      </c>
      <c r="C19" s="3" t="s">
        <v>36</v>
      </c>
      <c r="D19" s="23" t="s">
        <v>37</v>
      </c>
      <c r="E19" s="24"/>
      <c r="F19" s="24"/>
      <c r="G19" s="25"/>
      <c r="H19" s="4"/>
      <c r="I19" s="21" t="s">
        <v>30</v>
      </c>
      <c r="J19" s="4"/>
      <c r="K19" s="4"/>
      <c r="L19" s="16"/>
      <c r="M19" s="16"/>
      <c r="N19" s="16"/>
      <c r="O19" s="16"/>
      <c r="Q19" s="26"/>
      <c r="R19" s="26"/>
      <c r="S19" s="16"/>
      <c r="T19" s="27"/>
      <c r="W19" s="2"/>
    </row>
    <row r="20" spans="1:23" s="5" customFormat="1" x14ac:dyDescent="0.2">
      <c r="A20" s="3"/>
      <c r="B20" s="3"/>
      <c r="C20" s="3"/>
      <c r="D20" s="23" t="s">
        <v>38</v>
      </c>
      <c r="E20" s="24"/>
      <c r="F20" s="24"/>
      <c r="G20" s="25" t="s">
        <v>14</v>
      </c>
      <c r="H20" s="4" t="s">
        <v>27</v>
      </c>
      <c r="I20" s="21">
        <v>27.403344242077246</v>
      </c>
      <c r="J20" s="4"/>
      <c r="K20" s="4"/>
      <c r="L20" s="16"/>
      <c r="M20" s="16"/>
      <c r="N20" s="16"/>
      <c r="O20" s="16"/>
      <c r="Q20" s="26"/>
      <c r="R20" s="26"/>
      <c r="S20" s="16"/>
      <c r="T20" s="27"/>
      <c r="W20" s="2"/>
    </row>
    <row r="21" spans="1:23" s="5" customFormat="1" x14ac:dyDescent="0.2">
      <c r="A21" s="3"/>
      <c r="B21" s="3"/>
      <c r="C21" s="3"/>
      <c r="D21" s="23" t="s">
        <v>32</v>
      </c>
      <c r="E21" s="24"/>
      <c r="F21" s="24"/>
      <c r="G21" s="25" t="s">
        <v>14</v>
      </c>
      <c r="H21" s="4" t="s">
        <v>27</v>
      </c>
      <c r="I21" s="21">
        <v>28.106246995579102</v>
      </c>
      <c r="J21" s="4"/>
      <c r="K21" s="4"/>
      <c r="L21" s="16"/>
      <c r="M21" s="16"/>
      <c r="N21" s="16"/>
      <c r="O21" s="16"/>
      <c r="Q21" s="26"/>
      <c r="R21" s="26"/>
      <c r="S21" s="16"/>
      <c r="T21" s="27"/>
      <c r="W21" s="2"/>
    </row>
    <row r="22" spans="1:23" s="5" customFormat="1" x14ac:dyDescent="0.2">
      <c r="A22" s="3"/>
      <c r="B22" s="3"/>
      <c r="C22" s="3"/>
      <c r="D22" s="23" t="s">
        <v>33</v>
      </c>
      <c r="E22" s="24"/>
      <c r="F22" s="24"/>
      <c r="G22" s="25" t="s">
        <v>14</v>
      </c>
      <c r="H22" s="4" t="s">
        <v>27</v>
      </c>
      <c r="I22" s="21">
        <v>28.609730872212236</v>
      </c>
      <c r="J22" s="4"/>
      <c r="K22" s="4"/>
      <c r="L22" s="16"/>
      <c r="M22" s="16"/>
      <c r="N22" s="16"/>
      <c r="O22" s="16"/>
      <c r="Q22" s="26"/>
      <c r="R22" s="26"/>
      <c r="S22" s="16"/>
      <c r="T22" s="27"/>
      <c r="W22" s="2"/>
    </row>
    <row r="23" spans="1:23" s="5" customFormat="1" x14ac:dyDescent="0.2">
      <c r="A23" s="3"/>
      <c r="B23" s="3"/>
      <c r="C23" s="3"/>
      <c r="D23" s="23" t="s">
        <v>34</v>
      </c>
      <c r="E23" s="24"/>
      <c r="F23" s="24"/>
      <c r="G23" s="25" t="s">
        <v>14</v>
      </c>
      <c r="H23" s="4" t="s">
        <v>27</v>
      </c>
      <c r="I23" s="21">
        <v>29.113214748845373</v>
      </c>
      <c r="J23" s="4"/>
      <c r="K23" s="4"/>
      <c r="L23" s="16"/>
      <c r="M23" s="16"/>
      <c r="N23" s="16"/>
      <c r="O23" s="16"/>
      <c r="Q23" s="26"/>
      <c r="R23" s="26"/>
      <c r="S23" s="16"/>
      <c r="T23" s="27"/>
      <c r="W23" s="2"/>
    </row>
    <row r="24" spans="1:23" s="5" customFormat="1" x14ac:dyDescent="0.2">
      <c r="A24" s="3"/>
      <c r="B24" s="3"/>
      <c r="C24" s="3"/>
      <c r="D24" s="23" t="s">
        <v>35</v>
      </c>
      <c r="E24" s="24"/>
      <c r="F24" s="24"/>
      <c r="G24" s="25"/>
      <c r="H24" s="4"/>
      <c r="I24" s="21">
        <v>29.616698625478506</v>
      </c>
      <c r="J24" s="4"/>
      <c r="K24" s="4"/>
      <c r="L24" s="16"/>
      <c r="M24" s="16"/>
      <c r="N24" s="16"/>
      <c r="O24" s="16"/>
      <c r="Q24" s="26"/>
      <c r="R24" s="26"/>
      <c r="S24" s="16"/>
      <c r="T24" s="27"/>
      <c r="W24" s="2"/>
    </row>
    <row r="25" spans="1:23" s="5" customFormat="1" x14ac:dyDescent="0.2">
      <c r="A25" s="3"/>
      <c r="B25" s="3"/>
      <c r="C25" s="3"/>
      <c r="D25" s="23"/>
      <c r="E25" s="24"/>
      <c r="F25" s="24"/>
      <c r="G25" s="25"/>
      <c r="H25" s="4" t="s">
        <v>30</v>
      </c>
      <c r="I25" s="4" t="s">
        <v>30</v>
      </c>
      <c r="J25" s="4" t="s">
        <v>30</v>
      </c>
      <c r="K25" s="4"/>
      <c r="L25" s="26"/>
      <c r="M25" s="26"/>
      <c r="N25" s="27"/>
      <c r="O25" s="27"/>
      <c r="Q25" s="26"/>
      <c r="R25" s="26"/>
      <c r="S25" s="27"/>
      <c r="T25" s="27"/>
      <c r="W25" s="2"/>
    </row>
    <row r="26" spans="1:23" s="5" customFormat="1" x14ac:dyDescent="0.2">
      <c r="A26" s="3"/>
      <c r="B26" s="3"/>
      <c r="C26" s="3"/>
      <c r="D26" s="28" t="s">
        <v>39</v>
      </c>
      <c r="E26" s="24"/>
      <c r="F26" s="24"/>
      <c r="G26" s="25"/>
      <c r="H26" s="4"/>
      <c r="I26" s="4"/>
      <c r="J26" s="4"/>
      <c r="K26" s="4"/>
      <c r="L26" s="26"/>
      <c r="M26" s="26"/>
      <c r="N26" s="27"/>
      <c r="O26" s="27"/>
      <c r="Q26" s="26"/>
      <c r="R26" s="26"/>
      <c r="S26" s="27"/>
      <c r="T26" s="27"/>
      <c r="W26" s="2"/>
    </row>
    <row r="27" spans="1:23" s="5" customFormat="1" x14ac:dyDescent="0.2">
      <c r="A27" s="4" t="s">
        <v>11</v>
      </c>
      <c r="B27" s="4">
        <v>2</v>
      </c>
      <c r="C27" s="29" t="s">
        <v>40</v>
      </c>
      <c r="D27" s="30" t="s">
        <v>41</v>
      </c>
      <c r="E27" s="4">
        <v>275</v>
      </c>
      <c r="F27" s="4">
        <v>6</v>
      </c>
      <c r="G27" s="25" t="s">
        <v>14</v>
      </c>
      <c r="H27" s="21">
        <v>26.665596144931239</v>
      </c>
      <c r="I27" s="21">
        <v>27.841086498644522</v>
      </c>
      <c r="J27" s="4"/>
      <c r="K27" s="4"/>
      <c r="L27" s="26"/>
      <c r="M27" s="26"/>
      <c r="N27" s="27"/>
      <c r="O27" s="27"/>
      <c r="Q27" s="26"/>
      <c r="R27" s="26"/>
      <c r="S27" s="27"/>
      <c r="T27" s="27"/>
      <c r="W27" s="2"/>
    </row>
    <row r="28" spans="1:23" s="5" customFormat="1" ht="11.25" customHeight="1" x14ac:dyDescent="0.2">
      <c r="A28" s="29"/>
      <c r="B28" s="31"/>
      <c r="C28" s="31"/>
      <c r="D28" s="31"/>
      <c r="E28" s="31"/>
      <c r="F28" s="31"/>
      <c r="G28" s="31"/>
      <c r="H28" s="31"/>
      <c r="I28" s="31"/>
      <c r="J28" s="31"/>
      <c r="K28" s="2"/>
      <c r="W28" s="2"/>
    </row>
    <row r="29" spans="1:23" ht="15.75" x14ac:dyDescent="0.25">
      <c r="A29" s="32" t="s">
        <v>42</v>
      </c>
      <c r="B29" s="31"/>
      <c r="C29" s="31"/>
      <c r="D29" s="31"/>
      <c r="E29" s="31"/>
      <c r="F29" s="31"/>
      <c r="G29" s="31"/>
      <c r="H29" s="31"/>
      <c r="I29" s="31"/>
      <c r="J29" s="31"/>
      <c r="L29" s="2"/>
      <c r="M29" s="2"/>
      <c r="N29" s="2"/>
      <c r="O29" s="2"/>
      <c r="P29" s="2"/>
      <c r="Q29" s="2"/>
      <c r="R29" s="2"/>
      <c r="S29" s="2"/>
      <c r="T29" s="2"/>
      <c r="U29" s="2"/>
      <c r="V29" s="2"/>
    </row>
    <row r="30" spans="1:23" s="33" customFormat="1" x14ac:dyDescent="0.2">
      <c r="A30" s="1"/>
    </row>
    <row r="31" spans="1:23" s="33" customFormat="1" x14ac:dyDescent="0.2">
      <c r="A31" s="33" t="s">
        <v>43</v>
      </c>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L33" s="34"/>
      <c r="M33" s="34"/>
      <c r="N33" s="34"/>
      <c r="O33" s="34"/>
      <c r="P33" s="34"/>
      <c r="Q33" s="34"/>
      <c r="R33" s="34"/>
      <c r="S33" s="34"/>
      <c r="T33" s="34"/>
      <c r="U33" s="34"/>
      <c r="V33" s="34"/>
    </row>
    <row r="34" spans="1:22" s="33" customFormat="1" x14ac:dyDescent="0.2">
      <c r="A34" s="36" t="s">
        <v>45</v>
      </c>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20"/>
      <c r="F36" s="37"/>
      <c r="G36" s="38"/>
      <c r="H36" s="37"/>
      <c r="I36" s="37"/>
      <c r="J36" s="37"/>
      <c r="K36" s="37"/>
      <c r="L36" s="2"/>
      <c r="M36" s="34"/>
      <c r="O36" s="34"/>
      <c r="P36" s="34"/>
      <c r="Q36" s="34"/>
      <c r="R36" s="34"/>
      <c r="S36" s="34"/>
      <c r="T36" s="34"/>
      <c r="U36" s="34"/>
      <c r="V36" s="34"/>
    </row>
    <row r="37" spans="1:22" s="33" customFormat="1" x14ac:dyDescent="0.2">
      <c r="A37" s="39" t="s">
        <v>47</v>
      </c>
      <c r="M37" s="34"/>
      <c r="N37" s="2"/>
      <c r="O37" s="34"/>
      <c r="P37" s="34"/>
      <c r="Q37" s="34"/>
      <c r="R37" s="34"/>
      <c r="S37" s="34"/>
      <c r="T37" s="34"/>
      <c r="U37" s="34"/>
      <c r="V37" s="34"/>
    </row>
    <row r="38" spans="1:22" x14ac:dyDescent="0.2">
      <c r="A38" s="39" t="s">
        <v>48</v>
      </c>
      <c r="B38" s="33"/>
      <c r="C38" s="33"/>
      <c r="D38" s="33"/>
      <c r="G38" s="40">
        <v>1.1231430773437499</v>
      </c>
      <c r="H38" s="33" t="s">
        <v>49</v>
      </c>
      <c r="I38" s="33"/>
      <c r="J38" s="33"/>
      <c r="K38" s="33"/>
      <c r="L38" s="33"/>
      <c r="N38" s="33"/>
    </row>
    <row r="39" spans="1:22" s="33" customFormat="1" x14ac:dyDescent="0.2">
      <c r="A39" s="20"/>
      <c r="B39" s="19"/>
      <c r="C39" s="19"/>
      <c r="D39" s="19"/>
      <c r="E39" s="19"/>
      <c r="F39" s="19"/>
      <c r="G39" s="20"/>
      <c r="H39" s="37"/>
      <c r="I39" s="37"/>
      <c r="J39" s="37"/>
      <c r="K39" s="37"/>
      <c r="L39" s="2"/>
      <c r="M39" s="34"/>
      <c r="N39" s="34"/>
      <c r="O39" s="34"/>
      <c r="P39" s="34"/>
      <c r="Q39" s="34"/>
      <c r="R39" s="34"/>
      <c r="S39" s="34"/>
      <c r="T39" s="34"/>
      <c r="U39" s="34"/>
      <c r="V39" s="34"/>
    </row>
    <row r="40" spans="1:22" s="33" customFormat="1" x14ac:dyDescent="0.2">
      <c r="A40" s="39" t="s">
        <v>50</v>
      </c>
      <c r="M40" s="34"/>
      <c r="N40" s="34"/>
      <c r="O40" s="34"/>
      <c r="P40" s="34"/>
      <c r="Q40" s="34"/>
      <c r="R40" s="34"/>
      <c r="S40" s="34"/>
      <c r="T40" s="34"/>
      <c r="U40" s="34"/>
      <c r="V40" s="34"/>
    </row>
    <row r="41" spans="1:22" x14ac:dyDescent="0.2">
      <c r="A41" s="39" t="s">
        <v>51</v>
      </c>
      <c r="B41" s="33"/>
      <c r="C41" s="33"/>
      <c r="D41" s="33"/>
      <c r="G41" s="40">
        <v>1.8388715089843746</v>
      </c>
      <c r="H41" s="33" t="s">
        <v>49</v>
      </c>
      <c r="I41" s="33"/>
      <c r="J41" s="33"/>
      <c r="K41" s="33"/>
      <c r="L41" s="33"/>
    </row>
    <row r="42" spans="1:22" s="33" customFormat="1" x14ac:dyDescent="0.2">
      <c r="A42" s="20"/>
      <c r="L42" s="34"/>
      <c r="M42" s="34"/>
      <c r="N42" s="34"/>
      <c r="O42" s="34"/>
      <c r="P42" s="34"/>
      <c r="Q42" s="34"/>
      <c r="R42" s="34"/>
      <c r="S42" s="34"/>
      <c r="T42" s="34"/>
      <c r="U42" s="34"/>
      <c r="V42" s="34"/>
    </row>
    <row r="43" spans="1:22" s="33" customFormat="1" x14ac:dyDescent="0.2">
      <c r="A43" s="20"/>
      <c r="L43" s="34"/>
      <c r="M43" s="34"/>
      <c r="N43" s="34"/>
      <c r="O43" s="34"/>
      <c r="P43" s="34"/>
      <c r="Q43" s="34"/>
      <c r="R43" s="34"/>
      <c r="S43" s="34"/>
      <c r="T43" s="34"/>
      <c r="U43" s="34"/>
      <c r="V43" s="34"/>
    </row>
    <row r="44" spans="1:22" x14ac:dyDescent="0.2">
      <c r="A44" s="1" t="s">
        <v>52</v>
      </c>
      <c r="C44" s="41"/>
      <c r="D44" s="19"/>
      <c r="E44" s="19"/>
      <c r="F44" s="19"/>
      <c r="G44" s="40">
        <v>1.6847146160156246</v>
      </c>
      <c r="H44" s="42" t="s">
        <v>53</v>
      </c>
      <c r="I44" s="37"/>
      <c r="J44" s="37"/>
    </row>
    <row r="45" spans="1:22" x14ac:dyDescent="0.2">
      <c r="A45" s="19" t="s">
        <v>54</v>
      </c>
      <c r="C45" s="41"/>
      <c r="D45" s="19"/>
      <c r="E45" s="19"/>
      <c r="F45" s="19"/>
      <c r="G45" s="19"/>
      <c r="H45" s="37"/>
      <c r="I45" s="37"/>
      <c r="J45" s="37"/>
    </row>
    <row r="46" spans="1:22" x14ac:dyDescent="0.2">
      <c r="A46" s="2" t="s">
        <v>55</v>
      </c>
      <c r="C46" s="41"/>
      <c r="D46" s="19"/>
      <c r="E46" s="19"/>
      <c r="F46" s="19"/>
      <c r="G46" s="19"/>
      <c r="H46" s="37"/>
      <c r="I46" s="37"/>
      <c r="J46" s="37"/>
    </row>
    <row r="47" spans="1:22" s="33" customFormat="1" x14ac:dyDescent="0.2">
      <c r="A47" s="20"/>
      <c r="L47" s="34"/>
      <c r="M47" s="34"/>
      <c r="N47" s="34"/>
      <c r="O47" s="34"/>
      <c r="P47" s="34"/>
      <c r="Q47" s="34"/>
      <c r="R47" s="34"/>
      <c r="S47" s="34"/>
      <c r="T47" s="34"/>
      <c r="U47" s="34"/>
      <c r="V47" s="34"/>
    </row>
    <row r="48" spans="1:22" s="33" customFormat="1" x14ac:dyDescent="0.2">
      <c r="A48" s="20"/>
      <c r="L48" s="34"/>
      <c r="M48" s="34"/>
      <c r="N48" s="34"/>
      <c r="O48" s="34"/>
      <c r="P48" s="34"/>
      <c r="Q48" s="34"/>
      <c r="R48" s="34"/>
      <c r="S48" s="34"/>
      <c r="T48" s="34"/>
      <c r="U48" s="34"/>
      <c r="V48" s="34"/>
    </row>
    <row r="49" spans="1:23" s="33" customFormat="1" x14ac:dyDescent="0.2">
      <c r="A49" s="43" t="s">
        <v>56</v>
      </c>
      <c r="B49" s="44"/>
      <c r="L49" s="45"/>
      <c r="M49" s="34"/>
      <c r="N49" s="34"/>
      <c r="O49" s="34"/>
      <c r="P49" s="34"/>
      <c r="Q49" s="34"/>
      <c r="R49" s="34"/>
      <c r="S49" s="34"/>
      <c r="T49" s="34"/>
      <c r="U49" s="34"/>
      <c r="V49" s="34"/>
    </row>
    <row r="50" spans="1:23" s="33" customFormat="1" x14ac:dyDescent="0.2">
      <c r="A50" s="39" t="s">
        <v>57</v>
      </c>
      <c r="M50" s="34"/>
      <c r="N50" s="34"/>
      <c r="O50" s="34"/>
      <c r="P50" s="34"/>
      <c r="Q50" s="34"/>
      <c r="R50" s="34"/>
      <c r="S50" s="34"/>
      <c r="T50" s="34"/>
      <c r="U50" s="34"/>
      <c r="V50" s="34"/>
      <c r="W50" s="34"/>
    </row>
    <row r="51" spans="1:23" s="33" customFormat="1" x14ac:dyDescent="0.2">
      <c r="A51" s="39" t="s">
        <v>58</v>
      </c>
      <c r="M51" s="34"/>
      <c r="N51" s="34"/>
      <c r="O51" s="34"/>
      <c r="P51" s="34"/>
      <c r="Q51" s="34"/>
      <c r="R51" s="34"/>
      <c r="S51" s="34"/>
      <c r="T51" s="34"/>
      <c r="U51" s="34"/>
      <c r="V51" s="34"/>
      <c r="W51" s="34"/>
    </row>
    <row r="52" spans="1:23" s="33" customFormat="1" x14ac:dyDescent="0.2">
      <c r="A52" s="46">
        <v>0.28078576933593746</v>
      </c>
      <c r="B52" s="33" t="s">
        <v>59</v>
      </c>
      <c r="M52" s="45">
        <v>0.23699999999999999</v>
      </c>
      <c r="N52" s="34"/>
      <c r="O52" s="34"/>
      <c r="P52" s="34"/>
      <c r="Q52" s="34"/>
      <c r="R52" s="34"/>
      <c r="S52" s="34"/>
      <c r="T52" s="34"/>
      <c r="U52" s="34"/>
      <c r="V52" s="34"/>
      <c r="W52" s="34"/>
    </row>
    <row r="53" spans="1:23" s="33" customFormat="1" x14ac:dyDescent="0.2">
      <c r="A53" s="39" t="s">
        <v>60</v>
      </c>
      <c r="M53" s="34"/>
      <c r="N53" s="34"/>
      <c r="O53" s="34"/>
      <c r="P53" s="34"/>
      <c r="Q53" s="34"/>
      <c r="R53" s="34"/>
      <c r="S53" s="34"/>
      <c r="T53" s="34"/>
      <c r="U53" s="34"/>
      <c r="V53" s="34"/>
      <c r="W53" s="34"/>
    </row>
    <row r="54" spans="1:23" s="33" customFormat="1" x14ac:dyDescent="0.2">
      <c r="A54" s="39" t="s">
        <v>61</v>
      </c>
      <c r="M54" s="34"/>
      <c r="N54" s="34"/>
      <c r="O54" s="34"/>
      <c r="P54" s="34"/>
      <c r="Q54" s="34"/>
      <c r="R54" s="34"/>
      <c r="S54" s="34"/>
      <c r="T54" s="34"/>
      <c r="U54" s="34"/>
      <c r="V54" s="34"/>
      <c r="W54" s="34"/>
    </row>
    <row r="55" spans="1:23" s="33" customFormat="1" x14ac:dyDescent="0.2">
      <c r="A55" s="39" t="s">
        <v>62</v>
      </c>
      <c r="M55" s="34"/>
      <c r="N55" s="34"/>
      <c r="O55" s="34"/>
      <c r="P55" s="34"/>
      <c r="Q55" s="34"/>
      <c r="R55" s="34"/>
      <c r="S55" s="34"/>
      <c r="T55" s="34"/>
      <c r="U55" s="34"/>
      <c r="V55" s="34"/>
      <c r="W55" s="34"/>
    </row>
    <row r="56" spans="1:23" s="33" customFormat="1" x14ac:dyDescent="0.2">
      <c r="A56" s="39" t="s">
        <v>63</v>
      </c>
      <c r="M56" s="34"/>
      <c r="N56" s="34"/>
      <c r="O56" s="34"/>
      <c r="P56" s="34"/>
      <c r="Q56" s="34"/>
      <c r="R56" s="34"/>
      <c r="S56" s="34"/>
      <c r="T56" s="34"/>
      <c r="U56" s="34"/>
      <c r="V56" s="34"/>
      <c r="W56" s="34"/>
    </row>
    <row r="57" spans="1:23" s="33" customFormat="1" x14ac:dyDescent="0.2">
      <c r="A57" s="39"/>
      <c r="L57" s="34"/>
      <c r="M57" s="34"/>
      <c r="N57" s="34"/>
      <c r="O57" s="34"/>
      <c r="P57" s="34"/>
      <c r="Q57" s="34"/>
      <c r="R57" s="34"/>
      <c r="S57" s="34"/>
      <c r="T57" s="34"/>
      <c r="U57" s="34"/>
      <c r="V57" s="34"/>
    </row>
    <row r="58" spans="1:23" s="33" customFormat="1" x14ac:dyDescent="0.2">
      <c r="A58" s="39" t="s">
        <v>64</v>
      </c>
      <c r="L58" s="34"/>
      <c r="M58" s="34"/>
      <c r="N58" s="34"/>
      <c r="O58" s="34"/>
      <c r="P58" s="34"/>
      <c r="Q58" s="34"/>
      <c r="R58" s="34"/>
      <c r="S58" s="34"/>
      <c r="T58" s="34"/>
      <c r="U58" s="34"/>
      <c r="V58" s="34"/>
    </row>
    <row r="59" spans="1:23" s="33" customFormat="1" x14ac:dyDescent="0.2">
      <c r="A59" s="39" t="s">
        <v>65</v>
      </c>
      <c r="L59" s="34"/>
      <c r="M59" s="34"/>
      <c r="N59" s="34"/>
      <c r="O59" s="34"/>
      <c r="P59" s="34"/>
      <c r="Q59" s="34"/>
      <c r="R59" s="34"/>
      <c r="S59" s="34"/>
      <c r="T59" s="34"/>
      <c r="U59" s="34"/>
      <c r="V59" s="34"/>
    </row>
    <row r="60" spans="1:23" s="33" customFormat="1" x14ac:dyDescent="0.2">
      <c r="A60" s="47" t="s">
        <v>66</v>
      </c>
      <c r="F60" s="48">
        <v>1.7550682983804369</v>
      </c>
      <c r="G60" s="19" t="s">
        <v>67</v>
      </c>
      <c r="L60" s="34"/>
      <c r="M60" s="34"/>
      <c r="N60" s="34"/>
      <c r="O60" s="34"/>
      <c r="P60" s="34"/>
      <c r="Q60" s="34"/>
      <c r="R60" s="34"/>
      <c r="S60" s="34"/>
      <c r="T60" s="34"/>
      <c r="U60" s="34"/>
      <c r="V60" s="34"/>
    </row>
    <row r="61" spans="1:23" s="33" customFormat="1" x14ac:dyDescent="0.2">
      <c r="A61" s="47" t="s">
        <v>68</v>
      </c>
      <c r="F61" s="48">
        <v>1.2624577446574687</v>
      </c>
      <c r="G61" s="19" t="s">
        <v>67</v>
      </c>
      <c r="L61" s="34"/>
      <c r="M61" s="34"/>
      <c r="N61" s="34"/>
      <c r="O61" s="34"/>
      <c r="P61" s="34"/>
      <c r="Q61" s="34"/>
      <c r="R61" s="34"/>
      <c r="S61" s="34"/>
      <c r="T61" s="34"/>
      <c r="U61" s="34"/>
      <c r="V61" s="34"/>
    </row>
    <row r="62" spans="1:23" x14ac:dyDescent="0.2">
      <c r="A62" s="47" t="s">
        <v>69</v>
      </c>
      <c r="B62" s="20"/>
      <c r="C62" s="19"/>
      <c r="D62" s="19"/>
      <c r="E62" s="19"/>
      <c r="F62" s="49">
        <v>0.8420203650846092</v>
      </c>
      <c r="G62" s="19" t="s">
        <v>67</v>
      </c>
      <c r="H62" s="37"/>
      <c r="I62" s="37"/>
      <c r="J62" s="37"/>
      <c r="L62" s="50"/>
    </row>
    <row r="63" spans="1:23" x14ac:dyDescent="0.2">
      <c r="A63" s="39"/>
      <c r="B63" s="20"/>
      <c r="C63" s="19"/>
      <c r="D63" s="19"/>
      <c r="E63" s="19"/>
      <c r="H63" s="37"/>
      <c r="I63" s="37"/>
      <c r="J63" s="37"/>
      <c r="L63" s="50"/>
    </row>
    <row r="64" spans="1:23" x14ac:dyDescent="0.2">
      <c r="A64" s="43" t="s">
        <v>70</v>
      </c>
      <c r="B64" s="51"/>
      <c r="C64" s="19"/>
      <c r="D64" s="19"/>
      <c r="E64" s="19"/>
      <c r="H64" s="37"/>
      <c r="I64" s="37"/>
      <c r="J64" s="37"/>
      <c r="L64" s="50"/>
    </row>
    <row r="65" spans="1:12" x14ac:dyDescent="0.2">
      <c r="A65" s="18" t="s">
        <v>71</v>
      </c>
      <c r="B65" s="20"/>
      <c r="C65" s="19"/>
      <c r="D65" s="19"/>
      <c r="E65" s="19"/>
      <c r="F65" s="19"/>
      <c r="G65" s="19"/>
      <c r="H65" s="37"/>
      <c r="I65" s="37"/>
      <c r="J65" s="37"/>
    </row>
    <row r="66" spans="1:12" x14ac:dyDescent="0.2">
      <c r="A66" s="18" t="s">
        <v>72</v>
      </c>
      <c r="B66" s="20"/>
      <c r="C66" s="19"/>
      <c r="D66" s="19"/>
      <c r="E66" s="19"/>
      <c r="F66" s="19"/>
      <c r="G66" s="19"/>
      <c r="H66" s="37"/>
      <c r="I66" s="37"/>
      <c r="J66" s="37"/>
    </row>
    <row r="67" spans="1:12" x14ac:dyDescent="0.2">
      <c r="A67" s="52">
        <v>0.42052568460410922</v>
      </c>
      <c r="B67" s="39" t="s">
        <v>73</v>
      </c>
      <c r="C67" s="19"/>
      <c r="D67" s="19"/>
      <c r="E67" s="19"/>
      <c r="F67" s="19"/>
      <c r="G67" s="19"/>
      <c r="H67" s="37"/>
      <c r="I67" s="37"/>
      <c r="J67" s="37"/>
    </row>
    <row r="68" spans="1:12" x14ac:dyDescent="0.2">
      <c r="A68" s="18" t="s">
        <v>74</v>
      </c>
      <c r="B68" s="20"/>
      <c r="C68" s="19"/>
      <c r="D68" s="19"/>
      <c r="E68" s="19"/>
      <c r="F68" s="19"/>
      <c r="G68" s="19"/>
      <c r="H68" s="53"/>
      <c r="I68" s="37"/>
      <c r="J68" s="37"/>
    </row>
    <row r="69" spans="1:12" x14ac:dyDescent="0.2">
      <c r="A69" s="52">
        <v>0.42052568460410922</v>
      </c>
      <c r="B69" s="18" t="s">
        <v>75</v>
      </c>
      <c r="C69" s="19"/>
      <c r="D69" s="19"/>
      <c r="E69" s="19"/>
      <c r="F69" s="19"/>
      <c r="G69" s="19"/>
      <c r="I69" s="37"/>
      <c r="J69" s="37"/>
      <c r="L69" s="50"/>
    </row>
    <row r="70" spans="1:12" x14ac:dyDescent="0.2">
      <c r="A70" s="18" t="s">
        <v>76</v>
      </c>
      <c r="B70" s="20"/>
      <c r="C70" s="19"/>
      <c r="D70" s="19"/>
      <c r="E70" s="19"/>
      <c r="F70" s="19"/>
      <c r="G70" s="19"/>
      <c r="I70" s="37"/>
      <c r="J70" s="37"/>
      <c r="L70" s="50"/>
    </row>
    <row r="71" spans="1:12" x14ac:dyDescent="0.2">
      <c r="A71" s="18" t="s">
        <v>77</v>
      </c>
      <c r="B71" s="20"/>
      <c r="C71" s="19"/>
      <c r="D71" s="19"/>
      <c r="E71" s="19"/>
      <c r="F71" s="19"/>
      <c r="G71" s="19"/>
      <c r="H71" s="37"/>
      <c r="I71" s="37"/>
      <c r="J71" s="37"/>
    </row>
    <row r="72" spans="1:12" x14ac:dyDescent="0.2">
      <c r="A72" s="54">
        <v>0.42052568460410922</v>
      </c>
      <c r="B72" s="19" t="s">
        <v>78</v>
      </c>
      <c r="E72" s="19"/>
      <c r="F72" s="19"/>
      <c r="G72" s="19"/>
      <c r="H72" s="37"/>
      <c r="I72" s="37"/>
      <c r="J72" s="37"/>
    </row>
    <row r="73" spans="1:12" x14ac:dyDescent="0.2">
      <c r="A73" s="18"/>
      <c r="B73" s="20"/>
      <c r="C73" s="19"/>
      <c r="D73" s="19"/>
      <c r="E73" s="19"/>
      <c r="F73" s="19"/>
      <c r="G73" s="19"/>
      <c r="H73" s="37"/>
      <c r="I73" s="37"/>
      <c r="J73" s="37"/>
    </row>
    <row r="74" spans="1:12" x14ac:dyDescent="0.2">
      <c r="G74" s="19"/>
      <c r="H74" s="37"/>
      <c r="I74" s="37"/>
      <c r="J74" s="37"/>
      <c r="L74" s="50"/>
    </row>
    <row r="75" spans="1:12" x14ac:dyDescent="0.2">
      <c r="A75" s="43" t="s">
        <v>79</v>
      </c>
      <c r="B75" s="51"/>
      <c r="C75" s="49">
        <v>0.42052568460410922</v>
      </c>
      <c r="D75" s="19" t="s">
        <v>78</v>
      </c>
      <c r="E75" s="19"/>
      <c r="F75" s="19"/>
      <c r="G75" s="19"/>
      <c r="H75" s="37"/>
      <c r="I75" s="55" t="s">
        <v>80</v>
      </c>
      <c r="J75" s="37"/>
      <c r="L75" s="50"/>
    </row>
    <row r="76" spans="1:12" x14ac:dyDescent="0.2">
      <c r="A76" s="39" t="s">
        <v>81</v>
      </c>
      <c r="B76" s="20"/>
      <c r="C76" s="19"/>
      <c r="D76" s="19"/>
      <c r="E76" s="19"/>
      <c r="F76" s="19"/>
      <c r="G76" s="19"/>
      <c r="H76" s="37"/>
      <c r="I76" s="37"/>
      <c r="J76" s="19"/>
    </row>
    <row r="77" spans="1:12" x14ac:dyDescent="0.2">
      <c r="A77" s="39"/>
      <c r="B77" s="20"/>
      <c r="C77" s="19"/>
      <c r="D77" s="19"/>
      <c r="E77" s="19"/>
      <c r="F77" s="19"/>
      <c r="G77" s="19"/>
    </row>
    <row r="78" spans="1:12" x14ac:dyDescent="0.2">
      <c r="A78" s="56" t="s">
        <v>82</v>
      </c>
      <c r="B78" s="20"/>
      <c r="C78" s="19"/>
      <c r="D78" s="19"/>
      <c r="E78" s="19"/>
      <c r="F78" s="19"/>
      <c r="G78" s="19"/>
      <c r="H78" s="55" t="s">
        <v>83</v>
      </c>
      <c r="I78" s="54">
        <v>0.42052568460410922</v>
      </c>
      <c r="J78" s="2" t="s">
        <v>84</v>
      </c>
    </row>
    <row r="79" spans="1:12" x14ac:dyDescent="0.2">
      <c r="A79" s="57" t="s">
        <v>85</v>
      </c>
      <c r="B79" s="19"/>
      <c r="D79" s="19"/>
      <c r="E79" s="19"/>
      <c r="F79" s="19"/>
      <c r="G79" s="19"/>
      <c r="H79" s="58"/>
      <c r="I79" s="33"/>
      <c r="J79" s="33"/>
    </row>
    <row r="80" spans="1:12" x14ac:dyDescent="0.2">
      <c r="A80" s="57" t="s">
        <v>86</v>
      </c>
      <c r="B80" s="20"/>
      <c r="C80" s="19"/>
      <c r="D80" s="19"/>
      <c r="E80" s="19"/>
      <c r="F80" s="19"/>
      <c r="G80" s="19"/>
      <c r="H80" s="58"/>
      <c r="I80" s="33"/>
      <c r="J80" s="33"/>
    </row>
    <row r="81" spans="1:22" ht="13.5" customHeight="1" x14ac:dyDescent="0.2">
      <c r="A81" s="39" t="s">
        <v>87</v>
      </c>
      <c r="B81" s="33"/>
      <c r="C81" s="33"/>
      <c r="D81" s="33"/>
      <c r="E81" s="33"/>
      <c r="F81" s="33"/>
      <c r="G81" s="33"/>
      <c r="H81" s="55"/>
      <c r="I81" s="37"/>
      <c r="J81" s="37"/>
      <c r="L81" s="50"/>
    </row>
    <row r="82" spans="1:22" s="33" customFormat="1" x14ac:dyDescent="0.2">
      <c r="A82" s="39"/>
      <c r="H82" s="1"/>
      <c r="I82" s="2"/>
      <c r="J82" s="2"/>
      <c r="L82" s="34"/>
      <c r="M82" s="34"/>
      <c r="N82" s="34"/>
      <c r="O82" s="34"/>
      <c r="P82" s="34"/>
      <c r="Q82" s="34"/>
      <c r="R82" s="34"/>
      <c r="S82" s="34"/>
      <c r="T82" s="34"/>
      <c r="U82" s="34"/>
      <c r="V82" s="34"/>
    </row>
    <row r="83" spans="1:22" s="33" customFormat="1" x14ac:dyDescent="0.2">
      <c r="A83" s="59" t="s">
        <v>88</v>
      </c>
      <c r="H83" s="55" t="s">
        <v>89</v>
      </c>
      <c r="I83" s="54">
        <v>0.84105136920821844</v>
      </c>
      <c r="J83" s="2" t="s">
        <v>84</v>
      </c>
      <c r="L83" s="34"/>
      <c r="M83" s="34"/>
      <c r="N83" s="34"/>
      <c r="O83" s="34"/>
      <c r="P83" s="34"/>
      <c r="Q83" s="34"/>
      <c r="R83" s="34"/>
      <c r="S83" s="34"/>
      <c r="T83" s="34"/>
      <c r="U83" s="34"/>
      <c r="V83" s="34"/>
    </row>
    <row r="84" spans="1:22" s="33" customFormat="1" x14ac:dyDescent="0.2">
      <c r="A84" s="57" t="s">
        <v>90</v>
      </c>
      <c r="B84" s="20"/>
      <c r="C84" s="19"/>
      <c r="D84" s="19"/>
      <c r="E84" s="19"/>
      <c r="F84" s="19"/>
      <c r="G84" s="19"/>
      <c r="H84" s="58"/>
      <c r="L84" s="34"/>
      <c r="M84" s="34"/>
      <c r="N84" s="34"/>
      <c r="O84" s="34"/>
      <c r="P84" s="34"/>
      <c r="Q84" s="34"/>
      <c r="R84" s="34"/>
      <c r="S84" s="34"/>
      <c r="T84" s="34"/>
      <c r="U84" s="34"/>
      <c r="V84" s="34"/>
    </row>
    <row r="85" spans="1:22" x14ac:dyDescent="0.2">
      <c r="A85" s="57" t="s">
        <v>91</v>
      </c>
      <c r="B85" s="19"/>
      <c r="C85" s="19"/>
      <c r="D85" s="19"/>
      <c r="E85" s="19"/>
      <c r="F85" s="19"/>
      <c r="G85" s="19"/>
      <c r="H85" s="58"/>
      <c r="I85" s="33"/>
      <c r="J85" s="33"/>
    </row>
    <row r="86" spans="1:22" x14ac:dyDescent="0.2">
      <c r="A86" s="39" t="s">
        <v>92</v>
      </c>
      <c r="B86" s="33"/>
      <c r="C86" s="33"/>
      <c r="D86" s="33"/>
      <c r="E86" s="33"/>
      <c r="F86" s="33"/>
      <c r="G86" s="33"/>
      <c r="H86" s="55"/>
      <c r="I86" s="37"/>
      <c r="J86" s="37"/>
      <c r="L86" s="60"/>
    </row>
    <row r="87" spans="1:22" x14ac:dyDescent="0.2">
      <c r="A87" s="39"/>
      <c r="B87" s="33"/>
      <c r="C87" s="33"/>
      <c r="D87" s="33"/>
      <c r="E87" s="33"/>
      <c r="F87" s="33"/>
      <c r="G87" s="33"/>
      <c r="H87" s="1"/>
      <c r="L87" s="60"/>
    </row>
    <row r="88" spans="1:22" s="33" customFormat="1" x14ac:dyDescent="0.2">
      <c r="A88" s="59" t="s">
        <v>93</v>
      </c>
      <c r="H88" s="55" t="s">
        <v>94</v>
      </c>
      <c r="I88" s="54">
        <v>1.2615770538123277</v>
      </c>
      <c r="J88" s="2" t="s">
        <v>84</v>
      </c>
      <c r="L88" s="34"/>
      <c r="M88" s="34"/>
      <c r="N88" s="34"/>
      <c r="O88" s="34"/>
      <c r="P88" s="34"/>
      <c r="Q88" s="34"/>
      <c r="R88" s="34"/>
      <c r="S88" s="34"/>
      <c r="T88" s="34"/>
      <c r="U88" s="34"/>
      <c r="V88" s="34"/>
    </row>
    <row r="89" spans="1:22" s="33" customFormat="1" x14ac:dyDescent="0.2">
      <c r="A89" s="57" t="s">
        <v>95</v>
      </c>
      <c r="B89" s="20"/>
      <c r="C89" s="19"/>
      <c r="D89" s="19"/>
      <c r="E89" s="19"/>
      <c r="F89" s="19"/>
      <c r="G89" s="19"/>
      <c r="H89" s="58"/>
      <c r="L89" s="34"/>
      <c r="M89" s="34"/>
      <c r="N89" s="34"/>
      <c r="O89" s="34"/>
      <c r="P89" s="34"/>
      <c r="Q89" s="34"/>
      <c r="R89" s="34"/>
      <c r="S89" s="34"/>
      <c r="T89" s="34"/>
      <c r="U89" s="34"/>
      <c r="V89" s="34"/>
    </row>
    <row r="90" spans="1:22" x14ac:dyDescent="0.2">
      <c r="A90" s="57" t="s">
        <v>91</v>
      </c>
      <c r="B90" s="20"/>
      <c r="C90" s="19"/>
      <c r="D90" s="19"/>
      <c r="E90" s="19"/>
      <c r="F90" s="19"/>
      <c r="G90" s="19"/>
      <c r="H90" s="58"/>
      <c r="I90" s="33"/>
      <c r="J90" s="33"/>
    </row>
    <row r="91" spans="1:22" x14ac:dyDescent="0.2">
      <c r="A91" s="57" t="s">
        <v>92</v>
      </c>
      <c r="B91" s="20"/>
      <c r="C91" s="19"/>
      <c r="D91" s="19"/>
      <c r="E91" s="19"/>
      <c r="F91" s="19"/>
      <c r="G91" s="19"/>
      <c r="H91" s="55"/>
      <c r="I91" s="37"/>
      <c r="J91" s="37"/>
    </row>
    <row r="92" spans="1:22" x14ac:dyDescent="0.2">
      <c r="A92" s="19"/>
      <c r="B92" s="33"/>
      <c r="C92" s="33"/>
      <c r="D92" s="33"/>
      <c r="E92" s="33"/>
      <c r="F92" s="33"/>
      <c r="G92" s="33"/>
      <c r="H92" s="1"/>
      <c r="L92" s="60"/>
    </row>
    <row r="93" spans="1:22" s="33" customFormat="1" x14ac:dyDescent="0.2">
      <c r="A93" s="59" t="s">
        <v>96</v>
      </c>
      <c r="H93" s="55" t="s">
        <v>97</v>
      </c>
      <c r="I93" s="54">
        <v>1.6821027384164369</v>
      </c>
      <c r="J93" s="2" t="s">
        <v>84</v>
      </c>
      <c r="L93" s="34"/>
      <c r="M93" s="34"/>
      <c r="N93" s="34"/>
      <c r="O93" s="34"/>
      <c r="P93" s="34"/>
      <c r="Q93" s="34"/>
      <c r="R93" s="34"/>
      <c r="S93" s="34"/>
      <c r="T93" s="34"/>
      <c r="U93" s="34"/>
      <c r="V93" s="34"/>
    </row>
    <row r="94" spans="1:22" s="33" customFormat="1" x14ac:dyDescent="0.2">
      <c r="A94" s="39" t="s">
        <v>98</v>
      </c>
      <c r="B94" s="20"/>
      <c r="C94" s="39"/>
      <c r="D94" s="19"/>
      <c r="E94" s="19"/>
      <c r="F94" s="19"/>
      <c r="G94" s="19"/>
      <c r="H94" s="55"/>
      <c r="I94" s="61"/>
      <c r="J94" s="2"/>
      <c r="L94" s="34"/>
      <c r="M94" s="34"/>
      <c r="N94" s="34"/>
      <c r="O94" s="34"/>
      <c r="P94" s="34"/>
      <c r="Q94" s="34"/>
      <c r="R94" s="34"/>
      <c r="S94" s="34"/>
      <c r="T94" s="34"/>
      <c r="U94" s="34"/>
      <c r="V94" s="34"/>
    </row>
    <row r="95" spans="1:22" x14ac:dyDescent="0.2">
      <c r="A95" s="39" t="s">
        <v>99</v>
      </c>
      <c r="B95" s="20"/>
      <c r="C95" s="39"/>
      <c r="D95" s="19"/>
      <c r="E95" s="19"/>
      <c r="F95" s="19"/>
      <c r="G95" s="19"/>
      <c r="H95" s="55"/>
      <c r="I95" s="61"/>
    </row>
    <row r="96" spans="1:22" x14ac:dyDescent="0.2">
      <c r="A96" s="19" t="s">
        <v>100</v>
      </c>
      <c r="B96" s="33"/>
      <c r="C96" s="33"/>
      <c r="D96" s="33"/>
      <c r="E96" s="33"/>
      <c r="F96" s="33"/>
      <c r="G96" s="33"/>
      <c r="H96" s="55"/>
      <c r="I96" s="61"/>
      <c r="L96" s="60"/>
    </row>
    <row r="97" spans="1:12" x14ac:dyDescent="0.2">
      <c r="A97" s="19"/>
      <c r="B97" s="33"/>
      <c r="C97" s="33"/>
      <c r="D97" s="33"/>
      <c r="E97" s="33"/>
      <c r="F97" s="33"/>
      <c r="G97" s="33"/>
      <c r="H97" s="55"/>
      <c r="I97" s="61"/>
      <c r="L97" s="60"/>
    </row>
    <row r="98" spans="1:12" x14ac:dyDescent="0.2">
      <c r="A98" s="62" t="s">
        <v>101</v>
      </c>
      <c r="B98" s="33"/>
      <c r="C98" s="33"/>
      <c r="D98" s="33"/>
      <c r="E98" s="33"/>
      <c r="F98" s="33"/>
      <c r="G98" s="33"/>
      <c r="H98" s="55"/>
      <c r="I98" s="61"/>
      <c r="L98" s="60"/>
    </row>
    <row r="99" spans="1:12" x14ac:dyDescent="0.2">
      <c r="A99" s="19" t="s">
        <v>102</v>
      </c>
      <c r="B99" s="33"/>
      <c r="C99" s="33"/>
      <c r="D99" s="33"/>
      <c r="E99" s="33"/>
      <c r="F99" s="33"/>
      <c r="G99" s="33"/>
      <c r="H99" s="55"/>
      <c r="I99" s="61"/>
      <c r="L99" s="60"/>
    </row>
    <row r="100" spans="1:12" x14ac:dyDescent="0.2">
      <c r="A100" s="19" t="s">
        <v>103</v>
      </c>
      <c r="B100" s="33"/>
      <c r="C100" s="33"/>
      <c r="D100" s="33"/>
      <c r="E100" s="33"/>
      <c r="F100" s="33"/>
      <c r="G100" s="33"/>
      <c r="H100" s="55"/>
      <c r="I100" s="61"/>
      <c r="L100" s="60"/>
    </row>
    <row r="101" spans="1:12" x14ac:dyDescent="0.2">
      <c r="A101" s="19" t="s">
        <v>104</v>
      </c>
      <c r="B101" s="33"/>
      <c r="C101" s="33"/>
      <c r="D101" s="33"/>
      <c r="E101" s="33"/>
      <c r="F101" s="33"/>
      <c r="G101" s="33"/>
      <c r="H101" s="55"/>
      <c r="I101" s="61"/>
      <c r="L101" s="60"/>
    </row>
    <row r="102" spans="1:12" x14ac:dyDescent="0.2">
      <c r="A102" s="19" t="s">
        <v>105</v>
      </c>
      <c r="B102" s="33"/>
      <c r="C102" s="33"/>
      <c r="D102" s="33"/>
      <c r="E102" s="33"/>
      <c r="F102" s="33"/>
      <c r="G102" s="33"/>
      <c r="H102" s="55"/>
      <c r="I102" s="61"/>
      <c r="L102" s="60"/>
    </row>
    <row r="103" spans="1:12" x14ac:dyDescent="0.2">
      <c r="A103" s="19"/>
      <c r="B103" s="33"/>
      <c r="C103" s="33"/>
      <c r="D103" s="33"/>
      <c r="E103" s="33"/>
      <c r="F103" s="33"/>
      <c r="G103" s="33"/>
      <c r="H103" s="55"/>
      <c r="I103" s="61"/>
      <c r="L103" s="60"/>
    </row>
    <row r="104" spans="1:12" x14ac:dyDescent="0.2">
      <c r="A104" s="59" t="s">
        <v>106</v>
      </c>
      <c r="B104" s="33"/>
      <c r="C104" s="33"/>
      <c r="D104" s="33"/>
      <c r="E104" s="33"/>
      <c r="F104" s="33"/>
      <c r="G104" s="33"/>
      <c r="H104" s="55" t="s">
        <v>107</v>
      </c>
      <c r="I104" s="54">
        <v>2.1026284230205459</v>
      </c>
      <c r="J104" s="2" t="s">
        <v>84</v>
      </c>
      <c r="L104" s="60"/>
    </row>
    <row r="105" spans="1:12" x14ac:dyDescent="0.2">
      <c r="A105" s="19" t="s">
        <v>108</v>
      </c>
      <c r="B105" s="33"/>
      <c r="C105" s="33"/>
      <c r="D105" s="33"/>
      <c r="E105" s="33"/>
      <c r="F105" s="33"/>
      <c r="G105" s="33"/>
      <c r="H105" s="55"/>
      <c r="I105" s="61"/>
      <c r="L105" s="60"/>
    </row>
    <row r="106" spans="1:12" x14ac:dyDescent="0.2">
      <c r="A106" s="19" t="s">
        <v>99</v>
      </c>
      <c r="B106" s="33"/>
      <c r="C106" s="33"/>
      <c r="D106" s="33"/>
      <c r="E106" s="33"/>
      <c r="F106" s="33"/>
      <c r="G106" s="33"/>
      <c r="H106" s="55"/>
      <c r="I106" s="61"/>
      <c r="L106" s="60"/>
    </row>
    <row r="107" spans="1:12" s="5" customFormat="1" x14ac:dyDescent="0.2">
      <c r="A107" s="19" t="s">
        <v>100</v>
      </c>
      <c r="B107" s="33"/>
      <c r="C107" s="33"/>
      <c r="D107" s="33"/>
      <c r="E107" s="33"/>
      <c r="F107" s="33"/>
      <c r="G107" s="33"/>
      <c r="H107" s="55"/>
      <c r="I107" s="61"/>
      <c r="J107" s="2"/>
      <c r="K107" s="2"/>
      <c r="L107" s="60"/>
    </row>
    <row r="108" spans="1:12" s="5" customFormat="1" ht="13.5" customHeight="1" x14ac:dyDescent="0.2">
      <c r="A108" s="19"/>
      <c r="B108" s="33"/>
      <c r="C108" s="33"/>
      <c r="D108" s="33"/>
      <c r="E108" s="33"/>
      <c r="F108" s="33"/>
      <c r="G108" s="33"/>
      <c r="H108" s="55"/>
      <c r="I108" s="61"/>
      <c r="J108" s="2"/>
      <c r="K108" s="2"/>
      <c r="L108" s="60"/>
    </row>
    <row r="109" spans="1:12" s="5" customFormat="1" ht="13.5" customHeight="1" x14ac:dyDescent="0.2">
      <c r="A109" s="59" t="s">
        <v>109</v>
      </c>
      <c r="B109" s="33"/>
      <c r="C109" s="33"/>
      <c r="D109" s="33"/>
      <c r="E109" s="33"/>
      <c r="F109" s="33"/>
      <c r="G109" s="33"/>
      <c r="H109" s="55" t="s">
        <v>110</v>
      </c>
      <c r="I109" s="54">
        <v>2.5231541076246553</v>
      </c>
      <c r="J109" s="2" t="s">
        <v>84</v>
      </c>
      <c r="K109" s="2"/>
      <c r="L109" s="60"/>
    </row>
    <row r="110" spans="1:12" s="5" customFormat="1" ht="13.5" customHeight="1" x14ac:dyDescent="0.2">
      <c r="A110" s="19" t="s">
        <v>111</v>
      </c>
      <c r="B110" s="33"/>
      <c r="C110" s="33"/>
      <c r="D110" s="33"/>
      <c r="E110" s="33"/>
      <c r="F110" s="33"/>
      <c r="G110" s="33"/>
      <c r="H110" s="55" t="s">
        <v>112</v>
      </c>
      <c r="I110" s="61"/>
      <c r="J110" s="2"/>
      <c r="K110" s="2"/>
      <c r="L110" s="60"/>
    </row>
    <row r="111" spans="1:12" s="5" customFormat="1" ht="13.5" customHeight="1" x14ac:dyDescent="0.2">
      <c r="A111" s="19" t="s">
        <v>99</v>
      </c>
      <c r="B111" s="33"/>
      <c r="C111" s="33"/>
      <c r="D111" s="33"/>
      <c r="E111" s="33"/>
      <c r="F111" s="33"/>
      <c r="G111" s="33"/>
      <c r="H111" s="55"/>
      <c r="I111" s="61"/>
      <c r="J111" s="2"/>
      <c r="K111" s="2"/>
      <c r="L111" s="60"/>
    </row>
    <row r="112" spans="1:12" s="5" customFormat="1" ht="13.5" customHeight="1" x14ac:dyDescent="0.2">
      <c r="A112" s="19" t="s">
        <v>100</v>
      </c>
      <c r="B112" s="33"/>
      <c r="C112" s="33"/>
      <c r="D112" s="33"/>
      <c r="E112" s="33"/>
      <c r="F112" s="33"/>
      <c r="G112" s="33"/>
      <c r="H112" s="55"/>
      <c r="I112" s="61"/>
      <c r="J112" s="2"/>
      <c r="K112" s="2"/>
      <c r="L112" s="60"/>
    </row>
    <row r="113" spans="1:12" s="5" customFormat="1" ht="12.75" customHeight="1" x14ac:dyDescent="0.2">
      <c r="A113" s="19"/>
      <c r="B113" s="33"/>
      <c r="C113" s="33"/>
      <c r="D113" s="33"/>
      <c r="E113" s="33"/>
      <c r="F113" s="33"/>
      <c r="G113" s="33"/>
      <c r="H113" s="55"/>
      <c r="I113" s="61"/>
      <c r="J113" s="2"/>
      <c r="K113" s="2"/>
      <c r="L113" s="60"/>
    </row>
    <row r="114" spans="1:12" s="5" customFormat="1" x14ac:dyDescent="0.2">
      <c r="A114" s="59" t="s">
        <v>113</v>
      </c>
      <c r="B114" s="33"/>
      <c r="C114" s="33"/>
      <c r="D114" s="33"/>
      <c r="E114" s="33"/>
      <c r="F114" s="33"/>
      <c r="G114" s="33"/>
      <c r="H114" s="55" t="s">
        <v>114</v>
      </c>
      <c r="I114" s="54">
        <v>2.9436797922287647</v>
      </c>
      <c r="J114" s="2" t="s">
        <v>84</v>
      </c>
      <c r="K114" s="2"/>
      <c r="L114" s="60"/>
    </row>
    <row r="115" spans="1:12" s="5" customFormat="1" x14ac:dyDescent="0.2">
      <c r="A115" s="19" t="s">
        <v>115</v>
      </c>
      <c r="B115" s="33"/>
      <c r="C115" s="33"/>
      <c r="D115" s="33"/>
      <c r="E115" s="33"/>
      <c r="F115" s="33"/>
      <c r="G115" s="33"/>
      <c r="K115" s="2"/>
      <c r="L115" s="60"/>
    </row>
    <row r="116" spans="1:12" s="5" customFormat="1" x14ac:dyDescent="0.2">
      <c r="A116" s="19" t="s">
        <v>99</v>
      </c>
      <c r="B116" s="33"/>
      <c r="C116" s="33"/>
      <c r="D116" s="33"/>
      <c r="E116" s="33"/>
      <c r="F116" s="33"/>
      <c r="G116" s="33"/>
      <c r="K116" s="2"/>
      <c r="L116" s="60"/>
    </row>
    <row r="117" spans="1:12" s="5" customFormat="1" x14ac:dyDescent="0.2">
      <c r="A117" s="19" t="s">
        <v>100</v>
      </c>
      <c r="B117" s="33"/>
      <c r="C117" s="33"/>
      <c r="D117" s="33"/>
      <c r="E117" s="33"/>
      <c r="F117" s="33"/>
      <c r="G117" s="33"/>
      <c r="K117" s="2"/>
      <c r="L117" s="60"/>
    </row>
    <row r="118" spans="1:12" s="5" customFormat="1" x14ac:dyDescent="0.2">
      <c r="A118" s="19"/>
      <c r="B118" s="33"/>
      <c r="C118" s="33"/>
      <c r="D118" s="33"/>
      <c r="E118" s="33"/>
      <c r="F118" s="33"/>
      <c r="G118" s="33"/>
      <c r="H118" s="37"/>
      <c r="I118" s="61"/>
      <c r="J118" s="2"/>
      <c r="K118" s="2"/>
      <c r="L118" s="60"/>
    </row>
    <row r="119" spans="1:12" s="5" customFormat="1" x14ac:dyDescent="0.2">
      <c r="A119" s="19"/>
      <c r="B119" s="20"/>
      <c r="C119" s="39" t="s">
        <v>116</v>
      </c>
      <c r="D119" s="19"/>
      <c r="E119" s="19"/>
      <c r="F119" s="19"/>
      <c r="G119" s="19" t="s">
        <v>117</v>
      </c>
      <c r="H119" s="37"/>
      <c r="I119" s="37"/>
      <c r="J119" s="37"/>
      <c r="K119" s="2"/>
    </row>
    <row r="120" spans="1:12" s="5" customFormat="1" x14ac:dyDescent="0.2">
      <c r="A120" s="19"/>
      <c r="B120" s="20"/>
      <c r="C120" s="39" t="s">
        <v>118</v>
      </c>
      <c r="D120" s="19"/>
      <c r="E120" s="19"/>
      <c r="F120" s="19"/>
      <c r="G120" s="19" t="s">
        <v>119</v>
      </c>
      <c r="H120" s="37"/>
      <c r="I120" s="37"/>
      <c r="J120" s="37"/>
      <c r="K120" s="2"/>
    </row>
    <row r="121" spans="1:12" s="5" customFormat="1" x14ac:dyDescent="0.2">
      <c r="A121" s="19"/>
      <c r="B121" s="20"/>
      <c r="C121" s="39" t="s">
        <v>120</v>
      </c>
      <c r="D121" s="19"/>
      <c r="E121" s="19"/>
      <c r="F121" s="19"/>
      <c r="G121" s="19" t="s">
        <v>121</v>
      </c>
      <c r="H121" s="37"/>
      <c r="I121" s="37"/>
      <c r="J121" s="37"/>
      <c r="K121" s="2"/>
    </row>
    <row r="122" spans="1:12" s="5" customFormat="1" x14ac:dyDescent="0.2">
      <c r="A122" s="19"/>
      <c r="B122" s="20"/>
      <c r="C122" s="39" t="s">
        <v>122</v>
      </c>
      <c r="D122" s="19"/>
      <c r="E122" s="19"/>
      <c r="F122" s="19"/>
      <c r="G122" s="19" t="s">
        <v>123</v>
      </c>
      <c r="H122" s="37"/>
      <c r="I122" s="37"/>
      <c r="J122" s="37"/>
      <c r="K122" s="2"/>
    </row>
    <row r="123" spans="1:12" s="5" customFormat="1" x14ac:dyDescent="0.2">
      <c r="A123" s="39"/>
      <c r="B123" s="20"/>
      <c r="C123" s="39" t="s">
        <v>124</v>
      </c>
      <c r="D123" s="19"/>
      <c r="E123" s="19"/>
      <c r="F123" s="19"/>
      <c r="G123" s="19" t="s">
        <v>125</v>
      </c>
      <c r="H123" s="37"/>
      <c r="I123" s="37"/>
      <c r="J123" s="37"/>
      <c r="K123" s="2"/>
    </row>
    <row r="124" spans="1:12" s="5" customFormat="1" x14ac:dyDescent="0.2">
      <c r="A124" s="39"/>
      <c r="B124" s="20"/>
      <c r="C124" s="39" t="s">
        <v>126</v>
      </c>
      <c r="D124" s="19"/>
      <c r="E124" s="19"/>
      <c r="F124" s="19"/>
      <c r="G124" s="19" t="s">
        <v>127</v>
      </c>
      <c r="H124" s="37"/>
      <c r="I124" s="37"/>
      <c r="J124" s="37"/>
      <c r="K124" s="2"/>
    </row>
    <row r="125" spans="1:12" s="5" customFormat="1" x14ac:dyDescent="0.2">
      <c r="A125" s="39"/>
      <c r="B125" s="20"/>
      <c r="C125" s="19" t="s">
        <v>128</v>
      </c>
      <c r="D125" s="19"/>
      <c r="E125" s="19"/>
      <c r="F125" s="19"/>
      <c r="G125" s="19" t="s">
        <v>129</v>
      </c>
      <c r="H125" s="37"/>
      <c r="I125" s="37"/>
      <c r="J125" s="37"/>
      <c r="K125" s="2"/>
    </row>
    <row r="126" spans="1:12" s="5" customFormat="1" x14ac:dyDescent="0.2">
      <c r="A126" s="39"/>
      <c r="B126" s="20"/>
      <c r="C126" s="19" t="s">
        <v>130</v>
      </c>
      <c r="D126" s="19"/>
      <c r="E126" s="19"/>
      <c r="F126" s="19"/>
      <c r="G126" s="19" t="s">
        <v>131</v>
      </c>
      <c r="H126" s="37"/>
      <c r="I126" s="37"/>
      <c r="J126" s="37"/>
      <c r="K126" s="2"/>
    </row>
    <row r="127" spans="1:12" s="5" customFormat="1" x14ac:dyDescent="0.2">
      <c r="A127" s="39"/>
      <c r="B127" s="20"/>
      <c r="C127" s="19"/>
      <c r="D127" s="19"/>
      <c r="E127" s="19"/>
      <c r="F127" s="19"/>
      <c r="G127" s="19"/>
      <c r="H127" s="37"/>
      <c r="I127" s="37"/>
      <c r="J127" s="37"/>
      <c r="K127" s="2"/>
    </row>
    <row r="128" spans="1:12" s="5" customFormat="1" x14ac:dyDescent="0.2">
      <c r="A128" s="39"/>
      <c r="B128" s="20"/>
      <c r="C128" s="19" t="s">
        <v>132</v>
      </c>
      <c r="D128" s="19"/>
      <c r="E128" s="19"/>
      <c r="F128" s="19"/>
      <c r="G128" s="19" t="s">
        <v>133</v>
      </c>
      <c r="H128" s="37"/>
      <c r="I128" s="37"/>
      <c r="J128" s="37"/>
      <c r="K128" s="2"/>
    </row>
    <row r="129" spans="1:11" s="5" customFormat="1" x14ac:dyDescent="0.2">
      <c r="A129" s="39"/>
      <c r="B129" s="20"/>
      <c r="C129" s="19" t="s">
        <v>134</v>
      </c>
      <c r="D129" s="19"/>
      <c r="E129" s="19"/>
      <c r="F129" s="19"/>
      <c r="G129" s="19" t="s">
        <v>135</v>
      </c>
      <c r="H129" s="37"/>
      <c r="I129" s="37"/>
      <c r="J129" s="37"/>
      <c r="K129" s="2"/>
    </row>
    <row r="130" spans="1:11" s="5" customFormat="1" x14ac:dyDescent="0.2">
      <c r="A130" s="39"/>
      <c r="B130" s="20"/>
      <c r="C130" s="19" t="s">
        <v>136</v>
      </c>
      <c r="D130" s="19"/>
      <c r="E130" s="19"/>
      <c r="F130" s="19"/>
      <c r="G130" s="19" t="s">
        <v>137</v>
      </c>
      <c r="H130" s="37"/>
      <c r="I130" s="37"/>
      <c r="J130" s="37"/>
      <c r="K130" s="2"/>
    </row>
    <row r="131" spans="1:11" s="5" customFormat="1" x14ac:dyDescent="0.2">
      <c r="A131" s="39"/>
      <c r="B131" s="20"/>
      <c r="C131" s="19"/>
      <c r="D131" s="19"/>
      <c r="E131" s="19"/>
      <c r="F131" s="19"/>
      <c r="G131" s="19" t="s">
        <v>138</v>
      </c>
      <c r="H131" s="37"/>
      <c r="I131" s="37"/>
      <c r="J131" s="37"/>
      <c r="K131" s="2"/>
    </row>
    <row r="132" spans="1:11" s="5" customFormat="1" x14ac:dyDescent="0.2">
      <c r="A132" s="39"/>
      <c r="B132" s="20"/>
      <c r="C132" s="19"/>
      <c r="D132" s="19"/>
      <c r="E132" s="19"/>
      <c r="F132" s="19"/>
      <c r="G132" s="19"/>
      <c r="H132" s="37"/>
      <c r="I132" s="37"/>
      <c r="J132" s="37"/>
      <c r="K132" s="2"/>
    </row>
    <row r="133" spans="1:11" s="5" customFormat="1" x14ac:dyDescent="0.2">
      <c r="A133" s="39"/>
      <c r="B133" s="20"/>
      <c r="C133" s="19"/>
      <c r="D133" s="19"/>
      <c r="E133" s="19"/>
      <c r="F133" s="19"/>
      <c r="G133" s="19"/>
      <c r="H133" s="37"/>
      <c r="I133" s="37"/>
      <c r="J133" s="37"/>
      <c r="K133" s="2"/>
    </row>
    <row r="134" spans="1:11" s="5" customFormat="1" x14ac:dyDescent="0.2">
      <c r="A134" s="39"/>
      <c r="B134" s="20"/>
      <c r="C134" s="41" t="s">
        <v>139</v>
      </c>
      <c r="D134" s="41"/>
      <c r="E134" s="41"/>
      <c r="F134" s="41"/>
      <c r="G134" s="41"/>
      <c r="H134" s="63"/>
      <c r="I134" s="63"/>
      <c r="J134" s="63"/>
      <c r="K134" s="2"/>
    </row>
    <row r="135" spans="1:11" s="5" customFormat="1" x14ac:dyDescent="0.2">
      <c r="A135" s="39"/>
      <c r="B135" s="20"/>
      <c r="C135" s="41" t="s">
        <v>140</v>
      </c>
      <c r="D135" s="41"/>
      <c r="E135" s="41"/>
      <c r="F135" s="41"/>
      <c r="G135" s="41"/>
      <c r="H135" s="63"/>
      <c r="I135" s="63"/>
      <c r="J135" s="63"/>
      <c r="K135" s="2"/>
    </row>
    <row r="136" spans="1:11" s="5" customFormat="1" x14ac:dyDescent="0.2">
      <c r="A136" s="39"/>
      <c r="B136" s="20"/>
      <c r="C136" s="41" t="s">
        <v>141</v>
      </c>
      <c r="D136" s="41"/>
      <c r="E136" s="41"/>
      <c r="F136" s="41"/>
      <c r="G136" s="41"/>
      <c r="H136" s="63"/>
      <c r="I136" s="63"/>
      <c r="J136" s="63"/>
      <c r="K136" s="2"/>
    </row>
    <row r="137" spans="1:11" s="5" customFormat="1" x14ac:dyDescent="0.2">
      <c r="A137" s="39"/>
      <c r="B137" s="20"/>
      <c r="C137" s="41" t="s">
        <v>142</v>
      </c>
      <c r="D137" s="41"/>
      <c r="E137" s="41"/>
      <c r="F137" s="41"/>
      <c r="G137" s="41"/>
      <c r="H137" s="63"/>
      <c r="I137" s="63"/>
      <c r="J137" s="63"/>
      <c r="K137" s="2"/>
    </row>
    <row r="138" spans="1:11" s="5" customFormat="1" x14ac:dyDescent="0.2">
      <c r="A138" s="39"/>
      <c r="B138" s="20"/>
      <c r="C138" s="41" t="s">
        <v>143</v>
      </c>
      <c r="D138" s="41"/>
      <c r="E138" s="41"/>
      <c r="F138" s="41"/>
      <c r="G138" s="41"/>
      <c r="H138" s="63"/>
      <c r="I138" s="63"/>
      <c r="J138" s="63"/>
      <c r="K138" s="2"/>
    </row>
    <row r="139" spans="1:11" s="5" customFormat="1" x14ac:dyDescent="0.2">
      <c r="A139" s="39"/>
      <c r="B139" s="20"/>
      <c r="C139" s="41" t="s">
        <v>144</v>
      </c>
      <c r="D139" s="41"/>
      <c r="E139" s="41"/>
      <c r="F139" s="41"/>
      <c r="G139" s="41"/>
      <c r="H139" s="63"/>
      <c r="I139" s="63"/>
      <c r="J139" s="63"/>
      <c r="K139" s="2"/>
    </row>
    <row r="140" spans="1:11" s="5" customFormat="1" ht="13.5" customHeight="1" x14ac:dyDescent="0.2">
      <c r="A140" s="2"/>
      <c r="B140" s="2"/>
      <c r="C140" s="41" t="s">
        <v>145</v>
      </c>
      <c r="D140" s="41"/>
      <c r="E140" s="41"/>
      <c r="F140" s="41"/>
      <c r="G140" s="41"/>
      <c r="H140" s="63"/>
      <c r="I140" s="63"/>
      <c r="J140" s="63"/>
      <c r="K140" s="2"/>
    </row>
    <row r="141" spans="1:11" s="5" customFormat="1" x14ac:dyDescent="0.2">
      <c r="A141" s="2"/>
      <c r="B141" s="2"/>
      <c r="C141" s="41" t="s">
        <v>146</v>
      </c>
      <c r="D141" s="19"/>
      <c r="E141" s="19"/>
      <c r="F141" s="19"/>
      <c r="G141" s="19"/>
      <c r="H141" s="37"/>
      <c r="I141" s="37"/>
      <c r="J141" s="37"/>
      <c r="K141" s="2"/>
    </row>
    <row r="142" spans="1:11" s="5" customFormat="1" x14ac:dyDescent="0.2">
      <c r="A142" s="2"/>
      <c r="B142" s="2"/>
      <c r="C142" s="41"/>
      <c r="D142" s="19"/>
      <c r="E142" s="19"/>
      <c r="F142" s="19"/>
      <c r="G142" s="19"/>
      <c r="H142" s="37"/>
      <c r="I142" s="37"/>
      <c r="J142" s="37"/>
      <c r="K142" s="2"/>
    </row>
    <row r="143" spans="1:11" s="5" customFormat="1" x14ac:dyDescent="0.2">
      <c r="A143" s="2"/>
      <c r="B143" s="64"/>
      <c r="C143" s="64"/>
      <c r="D143" s="64"/>
      <c r="E143" s="65"/>
      <c r="F143" s="64"/>
      <c r="G143" s="64"/>
      <c r="H143" s="64"/>
      <c r="I143" s="64"/>
      <c r="J143" s="64"/>
      <c r="K143" s="64"/>
    </row>
    <row r="145" spans="1:22" x14ac:dyDescent="0.2">
      <c r="C145" s="41"/>
      <c r="D145" s="19"/>
      <c r="E145" s="19"/>
      <c r="F145" s="19"/>
      <c r="G145" s="19"/>
      <c r="H145" s="37"/>
      <c r="I145" s="37"/>
      <c r="J145" s="37"/>
    </row>
    <row r="146" spans="1:22" x14ac:dyDescent="0.2">
      <c r="A146" s="43" t="s">
        <v>147</v>
      </c>
      <c r="B146" s="33"/>
      <c r="C146" s="33"/>
      <c r="D146" s="33"/>
      <c r="E146" s="33"/>
      <c r="F146" s="33"/>
      <c r="G146" s="33"/>
      <c r="H146" s="33"/>
      <c r="I146" s="33"/>
      <c r="J146" s="33"/>
    </row>
    <row r="147" spans="1:22" s="33" customFormat="1" x14ac:dyDescent="0.2">
      <c r="A147" s="19" t="s">
        <v>148</v>
      </c>
      <c r="B147" s="20"/>
      <c r="C147" s="19"/>
      <c r="D147" s="19"/>
      <c r="E147" s="19"/>
      <c r="F147" s="19"/>
      <c r="G147" s="19"/>
      <c r="H147" s="2"/>
      <c r="I147" s="54">
        <v>0.93595256445312458</v>
      </c>
      <c r="J147" s="33" t="s">
        <v>149</v>
      </c>
      <c r="L147" s="45"/>
      <c r="M147" s="34"/>
      <c r="N147" s="34"/>
      <c r="O147" s="34"/>
      <c r="P147" s="34"/>
      <c r="Q147" s="34"/>
      <c r="R147" s="34"/>
      <c r="S147" s="34"/>
      <c r="T147" s="34"/>
      <c r="U147" s="34"/>
      <c r="V147" s="34"/>
    </row>
    <row r="148" spans="1:22" x14ac:dyDescent="0.2">
      <c r="A148" s="19" t="s">
        <v>150</v>
      </c>
      <c r="B148" s="20"/>
      <c r="C148" s="19"/>
      <c r="D148" s="19"/>
      <c r="E148" s="19"/>
      <c r="F148" s="19"/>
      <c r="G148" s="19"/>
      <c r="I148" s="54">
        <v>0.93595256445312458</v>
      </c>
      <c r="J148" s="33" t="s">
        <v>151</v>
      </c>
    </row>
    <row r="149" spans="1:22" x14ac:dyDescent="0.2">
      <c r="A149" s="19" t="s">
        <v>152</v>
      </c>
      <c r="B149" s="33"/>
      <c r="C149" s="33"/>
      <c r="D149" s="33"/>
      <c r="E149" s="33"/>
      <c r="F149" s="33"/>
      <c r="G149" s="33"/>
      <c r="H149" s="33"/>
      <c r="I149" s="33"/>
      <c r="J149" s="33"/>
    </row>
    <row r="150" spans="1:22" s="33" customFormat="1" ht="6.75" customHeight="1" x14ac:dyDescent="0.2">
      <c r="A150" s="39"/>
      <c r="L150" s="45"/>
      <c r="M150" s="34"/>
      <c r="N150" s="34"/>
      <c r="O150" s="34"/>
      <c r="P150" s="34"/>
      <c r="Q150" s="34"/>
      <c r="R150" s="34"/>
      <c r="S150" s="34"/>
      <c r="T150" s="34"/>
      <c r="U150" s="34"/>
      <c r="V150" s="34"/>
    </row>
    <row r="151" spans="1:22" s="33" customFormat="1" x14ac:dyDescent="0.2">
      <c r="A151" s="43" t="s">
        <v>153</v>
      </c>
      <c r="B151" s="20"/>
      <c r="C151" s="19"/>
      <c r="D151" s="19"/>
      <c r="E151" s="19"/>
      <c r="F151" s="19"/>
      <c r="G151" s="19"/>
      <c r="H151" s="37"/>
      <c r="I151" s="37"/>
      <c r="J151" s="37"/>
      <c r="L151" s="45"/>
      <c r="M151" s="34"/>
      <c r="N151" s="34"/>
      <c r="O151" s="34"/>
      <c r="P151" s="34"/>
      <c r="Q151" s="34"/>
      <c r="R151" s="34"/>
      <c r="S151" s="34"/>
      <c r="T151" s="34"/>
      <c r="U151" s="34"/>
      <c r="V151" s="34"/>
    </row>
    <row r="152" spans="1:22" x14ac:dyDescent="0.2">
      <c r="A152" s="33" t="s">
        <v>154</v>
      </c>
      <c r="B152" s="20"/>
      <c r="C152" s="19"/>
      <c r="D152" s="19"/>
      <c r="E152" s="19"/>
      <c r="F152" s="19"/>
      <c r="G152" s="19"/>
      <c r="H152" s="37"/>
      <c r="I152" s="37"/>
      <c r="J152" s="37"/>
    </row>
    <row r="153" spans="1:22" x14ac:dyDescent="0.2">
      <c r="A153" s="52">
        <v>0.45022313398401553</v>
      </c>
      <c r="B153" s="66" t="s">
        <v>155</v>
      </c>
      <c r="C153" s="33"/>
      <c r="D153" s="33"/>
      <c r="E153" s="33"/>
      <c r="F153" s="33"/>
      <c r="G153" s="33"/>
      <c r="H153" s="33"/>
      <c r="I153" s="33"/>
      <c r="J153" s="37"/>
    </row>
    <row r="154" spans="1:22" x14ac:dyDescent="0.2">
      <c r="A154" s="67" t="s">
        <v>156</v>
      </c>
      <c r="B154" s="33"/>
      <c r="C154" s="33"/>
      <c r="D154" s="33"/>
      <c r="E154" s="33"/>
      <c r="F154" s="33"/>
      <c r="G154" s="33"/>
      <c r="H154" s="33"/>
      <c r="I154" s="33"/>
      <c r="J154" s="33"/>
    </row>
    <row r="155" spans="1:22" s="33" customFormat="1" x14ac:dyDescent="0.2">
      <c r="A155" s="67" t="s">
        <v>157</v>
      </c>
      <c r="L155" s="34"/>
      <c r="M155" s="34"/>
      <c r="N155" s="34"/>
      <c r="O155" s="34"/>
      <c r="P155" s="34"/>
      <c r="Q155" s="34"/>
      <c r="R155" s="34"/>
      <c r="S155" s="34"/>
      <c r="T155" s="34"/>
      <c r="U155" s="34"/>
      <c r="V155" s="34"/>
    </row>
    <row r="156" spans="1:22" s="33" customFormat="1" x14ac:dyDescent="0.2">
      <c r="A156" s="39"/>
      <c r="B156" s="66"/>
      <c r="C156" s="66"/>
      <c r="L156" s="45"/>
      <c r="M156" s="34"/>
      <c r="N156" s="34"/>
      <c r="O156" s="34"/>
      <c r="P156" s="34"/>
      <c r="Q156" s="34"/>
      <c r="R156" s="34"/>
      <c r="S156" s="34"/>
      <c r="T156" s="34"/>
      <c r="U156" s="34"/>
      <c r="V156" s="34"/>
    </row>
    <row r="157" spans="1:22" s="33" customFormat="1" x14ac:dyDescent="0.2">
      <c r="A157" s="56" t="s">
        <v>158</v>
      </c>
      <c r="L157" s="34"/>
      <c r="M157" s="34"/>
      <c r="N157" s="34"/>
      <c r="O157" s="34"/>
      <c r="P157" s="34"/>
      <c r="Q157" s="34"/>
      <c r="R157" s="34"/>
      <c r="S157" s="34"/>
      <c r="T157" s="34"/>
      <c r="U157" s="34"/>
      <c r="V157" s="34"/>
    </row>
    <row r="158" spans="1:22" s="33" customFormat="1" x14ac:dyDescent="0.2">
      <c r="A158" s="33" t="s">
        <v>159</v>
      </c>
      <c r="B158" s="20"/>
      <c r="C158" s="68"/>
      <c r="D158" s="19"/>
      <c r="E158" s="19"/>
      <c r="F158" s="19"/>
      <c r="G158" s="19"/>
      <c r="I158" s="37"/>
      <c r="J158" s="37"/>
      <c r="L158" s="34"/>
      <c r="M158" s="34"/>
      <c r="N158" s="34"/>
      <c r="O158" s="34"/>
      <c r="P158" s="34"/>
      <c r="Q158" s="34"/>
      <c r="R158" s="34"/>
      <c r="S158" s="34"/>
      <c r="T158" s="34"/>
      <c r="U158" s="34"/>
      <c r="V158" s="34"/>
    </row>
    <row r="159" spans="1:22" x14ac:dyDescent="0.2">
      <c r="A159" s="33" t="s">
        <v>160</v>
      </c>
      <c r="B159" s="19"/>
      <c r="C159" s="19"/>
      <c r="D159" s="19"/>
      <c r="E159" s="19"/>
      <c r="F159" s="19"/>
      <c r="G159" s="19"/>
      <c r="H159" s="37"/>
      <c r="I159" s="37"/>
      <c r="J159" s="37"/>
    </row>
    <row r="160" spans="1:22" x14ac:dyDescent="0.2">
      <c r="A160" s="33" t="s">
        <v>161</v>
      </c>
      <c r="B160" s="69"/>
      <c r="C160" s="41"/>
      <c r="D160" s="41"/>
      <c r="E160" s="41"/>
      <c r="F160" s="41"/>
      <c r="G160" s="41"/>
      <c r="H160" s="63"/>
      <c r="I160" s="63"/>
      <c r="J160" s="63"/>
    </row>
    <row r="161" spans="1:10" x14ac:dyDescent="0.2">
      <c r="A161" s="33" t="s">
        <v>162</v>
      </c>
      <c r="B161" s="69"/>
      <c r="C161" s="41"/>
      <c r="D161" s="41"/>
      <c r="E161" s="41"/>
      <c r="F161" s="41"/>
      <c r="G161" s="41"/>
      <c r="H161" s="63"/>
      <c r="I161" s="63"/>
      <c r="J161" s="63"/>
    </row>
    <row r="162" spans="1:10" x14ac:dyDescent="0.2">
      <c r="A162" s="33" t="s">
        <v>163</v>
      </c>
      <c r="B162" s="69"/>
      <c r="C162" s="41"/>
      <c r="D162" s="41"/>
      <c r="E162" s="41"/>
      <c r="F162" s="41"/>
      <c r="G162" s="41"/>
      <c r="H162" s="63"/>
      <c r="I162" s="63"/>
      <c r="J162" s="63"/>
    </row>
    <row r="163" spans="1:10" x14ac:dyDescent="0.2">
      <c r="A163" s="33" t="s">
        <v>164</v>
      </c>
      <c r="B163" s="69"/>
      <c r="C163" s="41"/>
      <c r="D163" s="41"/>
      <c r="E163" s="41"/>
      <c r="F163" s="41"/>
      <c r="G163" s="41"/>
      <c r="H163" s="63"/>
      <c r="I163" s="63"/>
      <c r="J163" s="63"/>
    </row>
    <row r="164" spans="1:10" x14ac:dyDescent="0.2">
      <c r="A164" s="19" t="s">
        <v>165</v>
      </c>
      <c r="B164" s="69"/>
      <c r="C164" s="41"/>
      <c r="D164" s="41"/>
      <c r="E164" s="41"/>
      <c r="F164" s="41"/>
      <c r="G164" s="41"/>
      <c r="H164" s="63"/>
      <c r="I164" s="63"/>
      <c r="J164" s="63"/>
    </row>
    <row r="165" spans="1:10" x14ac:dyDescent="0.2">
      <c r="A165" s="19"/>
      <c r="B165" s="69"/>
      <c r="C165" s="41"/>
      <c r="D165" s="41"/>
      <c r="E165" s="41"/>
      <c r="F165" s="41"/>
      <c r="G165" s="41"/>
      <c r="H165" s="63"/>
      <c r="I165" s="63"/>
      <c r="J165" s="63"/>
    </row>
    <row r="166" spans="1:10" x14ac:dyDescent="0.2">
      <c r="A166" s="70" t="s">
        <v>166</v>
      </c>
      <c r="B166" s="69"/>
      <c r="C166" s="41"/>
      <c r="D166" s="41"/>
      <c r="E166" s="41"/>
      <c r="F166" s="41"/>
      <c r="G166" s="41"/>
      <c r="H166" s="63"/>
      <c r="I166" s="63"/>
      <c r="J166" s="63"/>
    </row>
    <row r="167" spans="1:10" x14ac:dyDescent="0.2">
      <c r="A167" s="39" t="s">
        <v>167</v>
      </c>
      <c r="B167" s="69"/>
      <c r="C167" s="41"/>
      <c r="D167" s="41"/>
      <c r="E167" s="41"/>
      <c r="F167" s="41"/>
      <c r="G167" s="41"/>
      <c r="H167" s="37"/>
      <c r="I167" s="37"/>
      <c r="J167" s="37"/>
    </row>
    <row r="168" spans="1:10" x14ac:dyDescent="0.2">
      <c r="A168" s="71"/>
      <c r="B168" s="20"/>
      <c r="C168" s="19"/>
      <c r="D168" s="19"/>
      <c r="E168" s="19"/>
      <c r="F168" s="19"/>
      <c r="G168" s="19"/>
      <c r="H168" s="37"/>
      <c r="I168" s="37"/>
      <c r="J168" s="37"/>
    </row>
    <row r="169" spans="1:10" x14ac:dyDescent="0.2">
      <c r="A169" s="70" t="s">
        <v>168</v>
      </c>
      <c r="B169" s="20"/>
      <c r="C169" s="19"/>
      <c r="D169" s="19"/>
      <c r="E169" s="19"/>
      <c r="F169" s="19"/>
      <c r="G169" s="19"/>
      <c r="H169" s="37"/>
      <c r="I169" s="37"/>
      <c r="J169" s="37"/>
    </row>
    <row r="170" spans="1:10" x14ac:dyDescent="0.2">
      <c r="A170" s="70"/>
      <c r="B170" s="20"/>
      <c r="C170" s="19"/>
      <c r="D170" s="19"/>
      <c r="E170" s="19"/>
      <c r="F170" s="19"/>
      <c r="G170" s="19"/>
      <c r="H170" s="37"/>
      <c r="I170" s="37"/>
      <c r="J170" s="37"/>
    </row>
    <row r="171" spans="1:10" x14ac:dyDescent="0.2">
      <c r="A171" s="70"/>
      <c r="B171" s="20"/>
      <c r="C171" s="19"/>
      <c r="D171" s="19"/>
      <c r="E171" s="19"/>
      <c r="F171" s="19"/>
      <c r="G171" s="19"/>
      <c r="H171" s="37"/>
      <c r="I171" s="37"/>
      <c r="J171" s="37"/>
    </row>
    <row r="172" spans="1:10" x14ac:dyDescent="0.2">
      <c r="A172" s="70"/>
      <c r="B172" s="20"/>
      <c r="C172" s="19"/>
      <c r="D172" s="19"/>
      <c r="E172" s="19"/>
      <c r="F172" s="19"/>
      <c r="G172" s="19"/>
      <c r="H172" s="37"/>
      <c r="I172" s="37"/>
      <c r="J172" s="37"/>
    </row>
    <row r="173" spans="1:10" x14ac:dyDescent="0.2">
      <c r="A173" s="70"/>
      <c r="B173" s="20"/>
      <c r="C173" s="19"/>
      <c r="D173" s="19"/>
      <c r="E173" s="19"/>
      <c r="F173" s="19"/>
      <c r="G173" s="19"/>
      <c r="H173" s="37"/>
      <c r="I173" s="37"/>
      <c r="J173" s="37"/>
    </row>
    <row r="174" spans="1:10" x14ac:dyDescent="0.2">
      <c r="A174" s="70"/>
      <c r="B174" s="20"/>
      <c r="C174" s="19"/>
      <c r="D174" s="19"/>
      <c r="E174" s="19"/>
      <c r="F174" s="19"/>
      <c r="G174" s="19"/>
      <c r="H174" s="37"/>
      <c r="I174" s="37"/>
      <c r="J174" s="37"/>
    </row>
    <row r="175" spans="1:10" x14ac:dyDescent="0.2">
      <c r="A175" s="39" t="s">
        <v>169</v>
      </c>
      <c r="B175" s="20"/>
      <c r="C175" s="19"/>
      <c r="D175" s="19"/>
      <c r="E175" s="19"/>
      <c r="H175" s="37"/>
      <c r="I175" s="37"/>
      <c r="J175" s="37"/>
    </row>
    <row r="176" spans="1:10" x14ac:dyDescent="0.2">
      <c r="A176" s="40">
        <v>1.35</v>
      </c>
      <c r="B176" s="33" t="s">
        <v>170</v>
      </c>
      <c r="C176" s="59"/>
      <c r="D176" s="59"/>
      <c r="G176" s="71"/>
      <c r="H176" s="55"/>
      <c r="I176" s="55"/>
      <c r="J176" s="55"/>
    </row>
    <row r="177" spans="1:22" x14ac:dyDescent="0.2">
      <c r="A177" s="72"/>
      <c r="B177" s="33"/>
      <c r="C177" s="33"/>
      <c r="D177" s="33"/>
      <c r="E177" s="33"/>
      <c r="F177" s="33"/>
      <c r="G177" s="33"/>
      <c r="H177" s="33"/>
      <c r="I177" s="33"/>
      <c r="J177" s="33"/>
    </row>
    <row r="178" spans="1:22" x14ac:dyDescent="0.2">
      <c r="A178" s="70" t="s">
        <v>171</v>
      </c>
      <c r="B178" s="33"/>
      <c r="C178" s="33"/>
      <c r="D178" s="33"/>
      <c r="E178" s="33"/>
      <c r="F178" s="33"/>
      <c r="G178" s="33"/>
      <c r="H178" s="33"/>
      <c r="I178" s="33"/>
      <c r="J178" s="33"/>
    </row>
    <row r="179" spans="1:22" s="33" customFormat="1" x14ac:dyDescent="0.2">
      <c r="A179" s="57" t="s">
        <v>172</v>
      </c>
      <c r="L179" s="34"/>
      <c r="M179" s="34"/>
      <c r="N179" s="34"/>
      <c r="O179" s="34"/>
      <c r="P179" s="34"/>
      <c r="Q179" s="34"/>
      <c r="R179" s="34"/>
      <c r="S179" s="34"/>
      <c r="T179" s="34"/>
      <c r="U179" s="34"/>
      <c r="V179" s="34"/>
    </row>
    <row r="180" spans="1:22" s="33" customFormat="1" x14ac:dyDescent="0.2">
      <c r="A180" s="72" t="s">
        <v>173</v>
      </c>
      <c r="B180" s="72"/>
      <c r="C180" s="72"/>
      <c r="D180" s="72"/>
      <c r="E180" s="72"/>
      <c r="F180" s="73"/>
      <c r="G180" s="73"/>
      <c r="H180" s="37"/>
      <c r="I180" s="37"/>
      <c r="J180" s="55"/>
      <c r="L180" s="45"/>
      <c r="M180" s="34"/>
      <c r="N180" s="34"/>
      <c r="O180" s="34"/>
      <c r="P180" s="34"/>
      <c r="Q180" s="34"/>
      <c r="R180" s="34"/>
      <c r="S180" s="34"/>
      <c r="T180" s="34"/>
      <c r="U180" s="34"/>
      <c r="V180" s="34"/>
    </row>
    <row r="181" spans="1:22" x14ac:dyDescent="0.2">
      <c r="A181" s="52">
        <v>0.23255800559479686</v>
      </c>
      <c r="B181" s="57" t="s">
        <v>174</v>
      </c>
      <c r="C181" s="72"/>
      <c r="D181" s="72"/>
      <c r="E181" s="72"/>
      <c r="F181" s="73"/>
      <c r="G181" s="73"/>
      <c r="H181" s="37"/>
      <c r="I181" s="37"/>
      <c r="J181" s="55"/>
    </row>
    <row r="182" spans="1:22" s="5" customFormat="1" x14ac:dyDescent="0.2">
      <c r="A182" s="52">
        <v>0.3906516251617031</v>
      </c>
      <c r="B182" s="57" t="s">
        <v>175</v>
      </c>
      <c r="C182" s="72"/>
      <c r="D182" s="72"/>
      <c r="E182" s="72"/>
      <c r="F182" s="73"/>
      <c r="G182" s="73"/>
      <c r="H182" s="37"/>
      <c r="I182" s="37"/>
      <c r="J182" s="55"/>
      <c r="K182" s="2"/>
      <c r="L182" s="50"/>
    </row>
    <row r="183" spans="1:22" s="5" customFormat="1" x14ac:dyDescent="0.2">
      <c r="A183" s="52">
        <v>0.46282479931181242</v>
      </c>
      <c r="B183" s="57" t="s">
        <v>176</v>
      </c>
      <c r="C183" s="72"/>
      <c r="D183" s="72"/>
      <c r="E183" s="72"/>
      <c r="F183" s="73"/>
      <c r="G183" s="73"/>
      <c r="H183" s="37"/>
      <c r="I183" s="37"/>
      <c r="J183" s="55"/>
      <c r="K183" s="2"/>
      <c r="L183" s="50"/>
    </row>
    <row r="184" spans="1:22" s="5" customFormat="1" x14ac:dyDescent="0.2">
      <c r="A184" s="52">
        <v>0.66445144455656246</v>
      </c>
      <c r="B184" s="57" t="s">
        <v>177</v>
      </c>
      <c r="C184" s="72"/>
      <c r="D184" s="72"/>
      <c r="E184" s="72"/>
      <c r="F184" s="73"/>
      <c r="G184" s="73"/>
      <c r="H184" s="37"/>
      <c r="I184" s="37"/>
      <c r="J184" s="55"/>
      <c r="K184" s="2"/>
      <c r="L184" s="50"/>
    </row>
    <row r="185" spans="1:22" s="5" customFormat="1" x14ac:dyDescent="0.2">
      <c r="A185" s="53"/>
      <c r="B185" s="57"/>
      <c r="C185" s="72"/>
      <c r="D185" s="72"/>
      <c r="E185" s="72"/>
      <c r="F185" s="73"/>
      <c r="G185" s="73"/>
      <c r="H185" s="37"/>
      <c r="I185" s="37"/>
      <c r="J185" s="55"/>
      <c r="K185" s="2"/>
      <c r="L185" s="50"/>
    </row>
    <row r="186" spans="1:22" s="5" customFormat="1" x14ac:dyDescent="0.2">
      <c r="A186" s="70" t="s">
        <v>178</v>
      </c>
      <c r="B186" s="2"/>
      <c r="C186" s="2"/>
      <c r="D186" s="2"/>
      <c r="E186" s="2"/>
      <c r="F186" s="2"/>
      <c r="G186" s="2"/>
      <c r="H186" s="2"/>
      <c r="I186" s="2"/>
      <c r="J186" s="2"/>
      <c r="K186" s="2"/>
      <c r="L186" s="50"/>
    </row>
    <row r="187" spans="1:22" s="5" customFormat="1" x14ac:dyDescent="0.2">
      <c r="A187" s="74" t="s">
        <v>179</v>
      </c>
      <c r="B187" s="2"/>
      <c r="C187" s="2"/>
      <c r="D187" s="2"/>
      <c r="E187" s="2"/>
      <c r="F187" s="2"/>
      <c r="G187" s="2"/>
      <c r="H187" s="2"/>
      <c r="I187" s="2"/>
      <c r="J187" s="2"/>
      <c r="K187" s="2"/>
    </row>
    <row r="188" spans="1:22" s="5" customFormat="1" x14ac:dyDescent="0.2">
      <c r="A188" s="74" t="s">
        <v>180</v>
      </c>
      <c r="B188" s="2"/>
      <c r="C188" s="2"/>
      <c r="D188" s="2"/>
      <c r="E188" s="2"/>
      <c r="F188" s="2"/>
      <c r="G188" s="2"/>
      <c r="H188" s="2"/>
      <c r="I188" s="2"/>
      <c r="J188" s="2"/>
      <c r="K188" s="2"/>
    </row>
    <row r="189" spans="1:22" s="5" customFormat="1" x14ac:dyDescent="0.2">
      <c r="A189" s="74"/>
      <c r="B189" s="2"/>
      <c r="C189" s="2"/>
      <c r="D189" s="2"/>
      <c r="E189" s="2"/>
      <c r="F189" s="2"/>
      <c r="G189" s="2"/>
      <c r="H189" s="2"/>
      <c r="I189" s="2"/>
      <c r="J189" s="2"/>
      <c r="K189" s="2"/>
    </row>
    <row r="191" spans="1:22" x14ac:dyDescent="0.2">
      <c r="A191" s="70" t="s">
        <v>181</v>
      </c>
    </row>
  </sheetData>
  <printOptions gridLines="1"/>
  <pageMargins left="0.25" right="0.25" top="0.75" bottom="0.75" header="0.3" footer="0.3"/>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E418-AF0C-416A-A058-828747203DD7}">
  <sheetPr codeName="Sheet10">
    <pageSetUpPr fitToPage="1"/>
  </sheetPr>
  <dimension ref="A1:AD154"/>
  <sheetViews>
    <sheetView showGridLines="0" zoomScale="110" zoomScaleNormal="110" workbookViewId="0">
      <selection activeCell="R15" sqref="R15"/>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9.85546875" style="2" bestFit="1" customWidth="1"/>
    <col min="9" max="10" width="10.140625" style="2" bestFit="1" customWidth="1"/>
    <col min="11" max="11" width="10.140625" style="5" bestFit="1" customWidth="1"/>
    <col min="12" max="12" width="12.7109375" style="5" customWidth="1"/>
    <col min="13" max="13" width="12.7109375" style="2" customWidth="1"/>
    <col min="14" max="14" width="11.5703125" style="140" bestFit="1" customWidth="1"/>
    <col min="15" max="15" width="10" style="139" bestFit="1" customWidth="1"/>
    <col min="16" max="16" width="35.28515625" style="139" bestFit="1" customWidth="1"/>
    <col min="17" max="17" width="19.5703125" style="140" bestFit="1" customWidth="1"/>
    <col min="18" max="18" width="11.28515625" style="140" bestFit="1" customWidth="1"/>
    <col min="19" max="21" width="7.42578125" style="140" bestFit="1" customWidth="1"/>
    <col min="22" max="22" width="0" style="2" hidden="1" customWidth="1"/>
    <col min="23" max="23" width="9.140625" style="116" bestFit="1" customWidth="1"/>
    <col min="24" max="24" width="11.7109375" style="117" bestFit="1" customWidth="1"/>
    <col min="25" max="25" width="35.28515625" style="116" bestFit="1" customWidth="1"/>
    <col min="26" max="26" width="19.5703125" style="117" bestFit="1" customWidth="1"/>
    <col min="27" max="27" width="7.42578125" style="117" bestFit="1" customWidth="1"/>
    <col min="28" max="30" width="7.42578125" style="116" bestFit="1" customWidth="1"/>
    <col min="31" max="16384" width="9.140625" style="2"/>
  </cols>
  <sheetData>
    <row r="1" spans="1:30" x14ac:dyDescent="0.2">
      <c r="A1" s="1" t="s">
        <v>0</v>
      </c>
      <c r="D1" s="3"/>
      <c r="I1" s="4"/>
      <c r="J1" s="4"/>
      <c r="N1" s="137" t="s">
        <v>384</v>
      </c>
      <c r="O1" s="138">
        <v>1.0249999999999999</v>
      </c>
    </row>
    <row r="2" spans="1:30" x14ac:dyDescent="0.2">
      <c r="A2" s="2" t="s">
        <v>396</v>
      </c>
      <c r="D2" s="3"/>
      <c r="I2" s="4"/>
      <c r="J2" s="4"/>
      <c r="K2" s="6"/>
    </row>
    <row r="3" spans="1:30" x14ac:dyDescent="0.2">
      <c r="A3" s="134" t="s">
        <v>394</v>
      </c>
      <c r="D3" s="3"/>
      <c r="I3" s="4"/>
      <c r="J3" s="4"/>
      <c r="K3" s="6"/>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191</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29.782113397400998</v>
      </c>
      <c r="I6" s="15">
        <f>R6</f>
        <v>31.084491057927224</v>
      </c>
      <c r="J6" s="4"/>
      <c r="K6" s="16"/>
      <c r="L6" s="93"/>
      <c r="M6" s="93"/>
      <c r="N6" s="146" t="s">
        <v>377</v>
      </c>
      <c r="O6" s="146" t="str">
        <f>A6</f>
        <v>01180C</v>
      </c>
      <c r="P6" s="139" t="str">
        <f>D6</f>
        <v>Automotive Mechanic</v>
      </c>
      <c r="Q6" s="147">
        <f t="shared" ref="Q6:R12" si="0">IF($N6="Y",((VLOOKUP($O6,Data2021,Q$4,0)+Pension2020)*PercIncr2022)-Pension2022,VLOOKUP($O6,Data2021,Q$4,0)+Pension2020-Pension2022)</f>
        <v>29.782113397400998</v>
      </c>
      <c r="R6" s="147">
        <f t="shared" si="0"/>
        <v>31.084491057927224</v>
      </c>
      <c r="W6" s="116" t="str">
        <f t="shared" ref="W6:W13" si="1">O6</f>
        <v>01180C</v>
      </c>
      <c r="X6" s="117">
        <f t="shared" ref="X6:Y13" si="2">C6</f>
        <v>21</v>
      </c>
      <c r="Y6" s="116" t="str">
        <f t="shared" si="2"/>
        <v>Automotive Mechanic</v>
      </c>
      <c r="Z6" s="123">
        <f>ROUND(Q6,3)</f>
        <v>29.782</v>
      </c>
      <c r="AA6" s="123">
        <f>ROUND(R6,3)</f>
        <v>31.084</v>
      </c>
    </row>
    <row r="7" spans="1:30" x14ac:dyDescent="0.2">
      <c r="A7" s="4" t="s">
        <v>249</v>
      </c>
      <c r="B7" s="4" t="s">
        <v>184</v>
      </c>
      <c r="C7" s="75" t="s">
        <v>194</v>
      </c>
      <c r="D7" s="3" t="s">
        <v>248</v>
      </c>
      <c r="E7" s="4">
        <v>328</v>
      </c>
      <c r="F7" s="4">
        <v>7</v>
      </c>
      <c r="G7" s="4" t="s">
        <v>14</v>
      </c>
      <c r="H7" s="15">
        <f t="shared" ref="H7:I13" si="3">Q7</f>
        <v>32.467541496874993</v>
      </c>
      <c r="I7" s="15">
        <f t="shared" si="3"/>
        <v>35.098582591336609</v>
      </c>
      <c r="J7" s="4"/>
      <c r="K7" s="16"/>
      <c r="L7" s="93"/>
      <c r="M7" s="93"/>
      <c r="N7" s="146" t="s">
        <v>377</v>
      </c>
      <c r="O7" s="146" t="str">
        <f t="shared" ref="O7:O15" si="4">A7</f>
        <v xml:space="preserve">52930C </v>
      </c>
      <c r="P7" s="139" t="str">
        <f t="shared" ref="P7:P15" si="5">D7</f>
        <v>Fleet Equipment Repair Coordinator</v>
      </c>
      <c r="Q7" s="147">
        <f t="shared" si="0"/>
        <v>32.467541496874993</v>
      </c>
      <c r="R7" s="147">
        <f t="shared" si="0"/>
        <v>35.098582591336609</v>
      </c>
      <c r="W7" s="116" t="str">
        <f t="shared" si="1"/>
        <v xml:space="preserve">52930C </v>
      </c>
      <c r="X7" s="117" t="str">
        <f t="shared" si="2"/>
        <v>12</v>
      </c>
      <c r="Y7" s="116" t="str">
        <f t="shared" si="2"/>
        <v>Fleet Equipment Repair Coordinator</v>
      </c>
      <c r="Z7" s="123">
        <f t="shared" ref="Z7:AA13" si="6">ROUND(Q7,3)</f>
        <v>32.468000000000004</v>
      </c>
      <c r="AA7" s="123">
        <f t="shared" si="6"/>
        <v>35.098999999999997</v>
      </c>
    </row>
    <row r="8" spans="1:30" x14ac:dyDescent="0.2">
      <c r="A8" s="4" t="s">
        <v>17</v>
      </c>
      <c r="B8" s="4" t="s">
        <v>184</v>
      </c>
      <c r="C8" s="75" t="s">
        <v>194</v>
      </c>
      <c r="D8" s="3" t="s">
        <v>18</v>
      </c>
      <c r="E8" s="4">
        <v>335</v>
      </c>
      <c r="F8" s="4">
        <v>7</v>
      </c>
      <c r="G8" s="4" t="s">
        <v>14</v>
      </c>
      <c r="H8" s="15">
        <f t="shared" si="3"/>
        <v>32.467402216302439</v>
      </c>
      <c r="I8" s="15">
        <f t="shared" si="3"/>
        <v>35.098582591336609</v>
      </c>
      <c r="J8" s="4"/>
      <c r="K8" s="16"/>
      <c r="L8" s="93"/>
      <c r="M8" s="93"/>
      <c r="N8" s="146" t="s">
        <v>377</v>
      </c>
      <c r="O8" s="146" t="str">
        <f t="shared" si="4"/>
        <v>04520C</v>
      </c>
      <c r="P8" s="139" t="str">
        <f t="shared" si="5"/>
        <v>Foreman Auto Mechanic</v>
      </c>
      <c r="Q8" s="147">
        <f t="shared" si="0"/>
        <v>32.467402216302439</v>
      </c>
      <c r="R8" s="147">
        <f t="shared" si="0"/>
        <v>35.098582591336609</v>
      </c>
      <c r="W8" s="116" t="str">
        <f t="shared" si="1"/>
        <v>04520C</v>
      </c>
      <c r="X8" s="117" t="str">
        <f t="shared" si="2"/>
        <v>12</v>
      </c>
      <c r="Y8" s="116" t="str">
        <f t="shared" si="2"/>
        <v>Foreman Auto Mechanic</v>
      </c>
      <c r="Z8" s="123">
        <f t="shared" si="6"/>
        <v>32.466999999999999</v>
      </c>
      <c r="AA8" s="123">
        <f t="shared" si="6"/>
        <v>35.098999999999997</v>
      </c>
    </row>
    <row r="9" spans="1:30" x14ac:dyDescent="0.2">
      <c r="A9" s="4" t="s">
        <v>19</v>
      </c>
      <c r="B9" s="4" t="s">
        <v>184</v>
      </c>
      <c r="C9" s="75" t="s">
        <v>197</v>
      </c>
      <c r="D9" s="3" t="s">
        <v>20</v>
      </c>
      <c r="E9" s="4">
        <v>393</v>
      </c>
      <c r="F9" s="4">
        <v>8</v>
      </c>
      <c r="G9" s="4" t="s">
        <v>14</v>
      </c>
      <c r="H9" s="15">
        <f t="shared" si="3"/>
        <v>35.247066227995646</v>
      </c>
      <c r="I9" s="15">
        <f t="shared" si="3"/>
        <v>38.740206697194523</v>
      </c>
      <c r="J9" s="4"/>
      <c r="K9" s="16"/>
      <c r="L9" s="93"/>
      <c r="M9" s="93"/>
      <c r="N9" s="146" t="s">
        <v>377</v>
      </c>
      <c r="O9" s="146" t="str">
        <f t="shared" si="4"/>
        <v>04820C</v>
      </c>
      <c r="P9" s="139" t="str">
        <f t="shared" si="5"/>
        <v>Foreman Paving Products Plant</v>
      </c>
      <c r="Q9" s="147">
        <f t="shared" si="0"/>
        <v>35.247066227995646</v>
      </c>
      <c r="R9" s="147">
        <f t="shared" si="0"/>
        <v>38.740206697194523</v>
      </c>
      <c r="W9" s="116" t="str">
        <f t="shared" si="1"/>
        <v>04820C</v>
      </c>
      <c r="X9" s="117" t="str">
        <f t="shared" si="2"/>
        <v>35</v>
      </c>
      <c r="Y9" s="116" t="str">
        <f t="shared" si="2"/>
        <v>Foreman Paving Products Plant</v>
      </c>
      <c r="Z9" s="123">
        <f t="shared" si="6"/>
        <v>35.247</v>
      </c>
      <c r="AA9" s="123">
        <f t="shared" si="6"/>
        <v>38.74</v>
      </c>
    </row>
    <row r="10" spans="1:30" x14ac:dyDescent="0.2">
      <c r="A10" s="4" t="s">
        <v>21</v>
      </c>
      <c r="B10" s="4" t="s">
        <v>184</v>
      </c>
      <c r="C10" s="75" t="s">
        <v>193</v>
      </c>
      <c r="D10" s="14" t="s">
        <v>22</v>
      </c>
      <c r="E10" s="4">
        <v>295</v>
      </c>
      <c r="F10" s="4">
        <v>6</v>
      </c>
      <c r="G10" s="4" t="s">
        <v>14</v>
      </c>
      <c r="H10" s="15">
        <f t="shared" si="3"/>
        <v>28.679811145593277</v>
      </c>
      <c r="I10" s="15">
        <f t="shared" si="3"/>
        <v>30.774940425570271</v>
      </c>
      <c r="J10" s="4"/>
      <c r="K10" s="16"/>
      <c r="L10" s="93"/>
      <c r="M10" s="93"/>
      <c r="N10" s="146" t="s">
        <v>377</v>
      </c>
      <c r="O10" s="146" t="str">
        <f t="shared" si="4"/>
        <v>07115C</v>
      </c>
      <c r="P10" s="139" t="str">
        <f t="shared" si="5"/>
        <v>Metal Fabrication &amp; Welding Specialist</v>
      </c>
      <c r="Q10" s="147">
        <f t="shared" si="0"/>
        <v>28.679811145593277</v>
      </c>
      <c r="R10" s="147">
        <f t="shared" si="0"/>
        <v>30.774940425570271</v>
      </c>
      <c r="W10" s="116" t="str">
        <f t="shared" si="1"/>
        <v>07115C</v>
      </c>
      <c r="X10" s="117" t="str">
        <f t="shared" si="2"/>
        <v>07</v>
      </c>
      <c r="Y10" s="116" t="str">
        <f t="shared" si="2"/>
        <v>Metal Fabrication &amp; Welding Specialist</v>
      </c>
      <c r="Z10" s="123">
        <f t="shared" si="6"/>
        <v>28.68</v>
      </c>
      <c r="AA10" s="123">
        <f t="shared" si="6"/>
        <v>30.774999999999999</v>
      </c>
    </row>
    <row r="11" spans="1:30" x14ac:dyDescent="0.2">
      <c r="A11" s="4" t="s">
        <v>255</v>
      </c>
      <c r="B11" s="4" t="s">
        <v>184</v>
      </c>
      <c r="C11" s="75" t="s">
        <v>194</v>
      </c>
      <c r="D11" s="14" t="s">
        <v>251</v>
      </c>
      <c r="E11" s="4">
        <v>328</v>
      </c>
      <c r="F11" s="4">
        <v>7</v>
      </c>
      <c r="G11" s="4" t="s">
        <v>14</v>
      </c>
      <c r="H11" s="15">
        <f t="shared" si="3"/>
        <v>32.467541496874993</v>
      </c>
      <c r="I11" s="15">
        <f t="shared" si="3"/>
        <v>35.098582591336609</v>
      </c>
      <c r="J11" s="4"/>
      <c r="K11" s="16"/>
      <c r="L11" s="93"/>
      <c r="M11" s="93"/>
      <c r="N11" s="146" t="s">
        <v>377</v>
      </c>
      <c r="O11" s="146" t="str">
        <f t="shared" si="4"/>
        <v>52973C</v>
      </c>
      <c r="P11" s="139" t="str">
        <f t="shared" si="5"/>
        <v>Sanitation Equipment Repair Coordinator</v>
      </c>
      <c r="Q11" s="147">
        <f t="shared" si="0"/>
        <v>32.467541496874993</v>
      </c>
      <c r="R11" s="147">
        <f t="shared" si="0"/>
        <v>35.098582591336609</v>
      </c>
      <c r="W11" s="116" t="str">
        <f t="shared" si="1"/>
        <v>52973C</v>
      </c>
      <c r="X11" s="117" t="str">
        <f t="shared" si="2"/>
        <v>12</v>
      </c>
      <c r="Y11" s="116" t="str">
        <f t="shared" si="2"/>
        <v>Sanitation Equipment Repair Coordinator</v>
      </c>
      <c r="Z11" s="123">
        <f t="shared" si="6"/>
        <v>32.468000000000004</v>
      </c>
      <c r="AA11" s="123">
        <f t="shared" si="6"/>
        <v>35.098999999999997</v>
      </c>
    </row>
    <row r="12" spans="1:30" x14ac:dyDescent="0.2">
      <c r="A12" s="4" t="s">
        <v>23</v>
      </c>
      <c r="B12" s="4" t="s">
        <v>184</v>
      </c>
      <c r="C12" s="75" t="s">
        <v>192</v>
      </c>
      <c r="D12" s="3" t="s">
        <v>214</v>
      </c>
      <c r="E12" s="4">
        <v>295</v>
      </c>
      <c r="F12" s="4">
        <v>6</v>
      </c>
      <c r="G12" s="4" t="s">
        <v>14</v>
      </c>
      <c r="H12" s="15">
        <f t="shared" si="3"/>
        <v>29.782113397400998</v>
      </c>
      <c r="I12" s="15">
        <f t="shared" si="3"/>
        <v>31.084491057927224</v>
      </c>
      <c r="J12" s="4"/>
      <c r="K12" s="16"/>
      <c r="L12" s="93"/>
      <c r="M12" s="93"/>
      <c r="N12" s="146" t="s">
        <v>377</v>
      </c>
      <c r="O12" s="146" t="str">
        <f t="shared" si="4"/>
        <v>10960C</v>
      </c>
      <c r="P12" s="139" t="str">
        <f t="shared" si="5"/>
        <v>Welder, Shop</v>
      </c>
      <c r="Q12" s="147">
        <f t="shared" si="0"/>
        <v>29.782113397400998</v>
      </c>
      <c r="R12" s="147">
        <f t="shared" si="0"/>
        <v>31.084491057927224</v>
      </c>
      <c r="W12" s="116" t="str">
        <f t="shared" si="1"/>
        <v>10960C</v>
      </c>
      <c r="X12" s="117" t="str">
        <f t="shared" si="2"/>
        <v>05</v>
      </c>
      <c r="Y12" s="116" t="str">
        <f t="shared" si="2"/>
        <v>Welder, Shop</v>
      </c>
      <c r="Z12" s="123">
        <f t="shared" si="6"/>
        <v>29.782</v>
      </c>
      <c r="AA12" s="123">
        <f t="shared" si="6"/>
        <v>31.084</v>
      </c>
    </row>
    <row r="13" spans="1:30" x14ac:dyDescent="0.2">
      <c r="A13" s="4" t="s">
        <v>25</v>
      </c>
      <c r="B13" s="4" t="s">
        <v>184</v>
      </c>
      <c r="C13" s="75" t="s">
        <v>195</v>
      </c>
      <c r="D13" s="3" t="s">
        <v>283</v>
      </c>
      <c r="E13" s="4">
        <v>285</v>
      </c>
      <c r="F13" s="4">
        <v>6</v>
      </c>
      <c r="G13" s="4" t="s">
        <v>14</v>
      </c>
      <c r="H13" s="15" t="str">
        <f t="shared" si="3"/>
        <v>NA</v>
      </c>
      <c r="I13" s="15">
        <f t="shared" si="3"/>
        <v>32.802033210351638</v>
      </c>
      <c r="J13" s="4"/>
      <c r="K13" s="16"/>
      <c r="L13" s="93"/>
      <c r="M13" s="93"/>
      <c r="N13" s="146" t="s">
        <v>377</v>
      </c>
      <c r="O13" s="146" t="str">
        <f t="shared" si="4"/>
        <v>08569C</v>
      </c>
      <c r="P13" s="139" t="str">
        <f t="shared" si="5"/>
        <v>Public Works Service Worker 2 (PWSW2)</v>
      </c>
      <c r="Q13" s="147" t="s">
        <v>380</v>
      </c>
      <c r="R13" s="147">
        <f>IF($N13="Y",((VLOOKUP($O13,Data2021,R$4,0)+Pension2020)*PercIncr2022)-Pension2022,VLOOKUP($O13,Data2021,R$4,0)+Pension2020-Pension2022)</f>
        <v>32.802033210351638</v>
      </c>
      <c r="W13" s="116" t="str">
        <f t="shared" si="1"/>
        <v>08569C</v>
      </c>
      <c r="X13" s="117" t="str">
        <f t="shared" si="2"/>
        <v>20</v>
      </c>
      <c r="Y13" s="116" t="str">
        <f t="shared" si="2"/>
        <v>Public Works Service Worker 2 (PWSW2)</v>
      </c>
      <c r="Z13" s="123"/>
      <c r="AA13" s="123">
        <f t="shared" si="6"/>
        <v>32.802</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29.495706276374403</v>
      </c>
      <c r="I15" s="15">
        <f>R15</f>
        <v>30.812690502686969</v>
      </c>
      <c r="J15" s="4"/>
      <c r="K15" s="26"/>
      <c r="L15" s="26"/>
      <c r="M15" s="108"/>
      <c r="N15" s="148" t="s">
        <v>377</v>
      </c>
      <c r="O15" s="146" t="str">
        <f t="shared" si="4"/>
        <v>02526C</v>
      </c>
      <c r="P15" s="139" t="str">
        <f t="shared" si="5"/>
        <v>PWSW2 - WU Shop</v>
      </c>
      <c r="Q15" s="147">
        <f>IF($N15="Y",((VLOOKUP($O15,Data2021,Q$4,0)+Pension2020)*PercIncr2022)-Pension2022,VLOOKUP($O15,Data2021,Q$4,0)+Pension2020-Pension2022)</f>
        <v>29.495706276374403</v>
      </c>
      <c r="R15" s="147">
        <f>IF($N15="Y",((VLOOKUP($O15,Data2021,R$4,0)+Pension2020)*PercIncr2022)-Pension2022,VLOOKUP($O15,Data2021,R$4,0)+Pension2020-Pension2022)</f>
        <v>30.812690502686969</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29.40229419725836</v>
      </c>
      <c r="I19" s="15">
        <f>R19</f>
        <v>30.412953465253196</v>
      </c>
      <c r="J19" s="15">
        <f>S19</f>
        <v>31.209313380286012</v>
      </c>
      <c r="K19" s="15">
        <f>T19</f>
        <v>32.005673295318822</v>
      </c>
      <c r="L19" s="15">
        <f>U19</f>
        <v>32.802033210351638</v>
      </c>
      <c r="M19" s="2"/>
      <c r="N19" s="140" t="s">
        <v>377</v>
      </c>
      <c r="O19" s="146" t="str">
        <f>A19</f>
        <v>02624C</v>
      </c>
      <c r="P19" s="139" t="str">
        <f>D19</f>
        <v>PWSW2 Apprentice Program for  PWSW1's</v>
      </c>
      <c r="Q19" s="147">
        <f>IF($N19="Y",((VLOOKUP($O19,Data2021,Q$4,0)+Pension2020)*PercIncr2022)-Pension2022,VLOOKUP($O19,Data2021,Q$4,0)+Pension2020-Pension2022)</f>
        <v>29.40229419725836</v>
      </c>
      <c r="R19" s="147">
        <f>IF($N19="Y",((VLOOKUP($O19,Data2021,R$4,0)+Pension2020)*PercIncr2022)-Pension2022,VLOOKUP($O19,Data2021,R$4,0)+Pension2020-Pension2022)</f>
        <v>30.412953465253196</v>
      </c>
      <c r="S19" s="147">
        <f>IF($N19="Y",((VLOOKUP($O19,Data2021,S$4,0)+Pension2020)*PercIncr2022)-Pension2022,VLOOKUP($O19,Data2021,S$4,0)+Pension2020-Pension2022)</f>
        <v>31.209313380286012</v>
      </c>
      <c r="T19" s="147">
        <f>IF($N19="Y",((VLOOKUP($O19,Data2021,T$4,0)+Pension2020)*PercIncr2022)-Pension2022,VLOOKUP($O19,Data2021,T$4,0)+Pension2020-Pension2022)</f>
        <v>32.005673295318822</v>
      </c>
      <c r="U19" s="147">
        <f>IF($N19="Y",((VLOOKUP($O19,Data2021,U$4,0)+Pension2020)*PercIncr2022)-Pension2022,VLOOKUP($O19,Data2021,U$4,0)+Pension2020-Pension2022)</f>
        <v>32.802033210351638</v>
      </c>
      <c r="V19" s="2"/>
      <c r="W19" s="116" t="str">
        <f>O19</f>
        <v>02624C</v>
      </c>
      <c r="X19" s="117">
        <f>C19</f>
        <v>36</v>
      </c>
      <c r="Y19" s="116" t="str">
        <f>D19</f>
        <v>PWSW2 Apprentice Program for  PWSW1's</v>
      </c>
      <c r="Z19" s="123">
        <f>ROUND(Q19,3)</f>
        <v>29.402000000000001</v>
      </c>
      <c r="AA19" s="123">
        <f>ROUND(R19,3)</f>
        <v>30.413</v>
      </c>
      <c r="AB19" s="123">
        <f>ROUND(S19,3)</f>
        <v>31.209</v>
      </c>
      <c r="AC19" s="123">
        <f>ROUND(T19,3)</f>
        <v>32.006</v>
      </c>
      <c r="AD19" s="123">
        <f>ROUND(U19,3)</f>
        <v>32.802</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30.322257173933181</v>
      </c>
      <c r="I23" s="15">
        <f>R23</f>
        <v>31.109768390906908</v>
      </c>
      <c r="J23" s="15">
        <f>S23</f>
        <v>31.673856664055151</v>
      </c>
      <c r="K23" s="15">
        <f>T23</f>
        <v>32.237944937203395</v>
      </c>
      <c r="L23" s="15">
        <f>U23</f>
        <v>32.802033210351638</v>
      </c>
      <c r="M23" s="2"/>
      <c r="N23" s="140" t="s">
        <v>377</v>
      </c>
      <c r="O23" s="146" t="str">
        <f>A23</f>
        <v>02622C</v>
      </c>
      <c r="P23" s="139" t="str">
        <f>D23</f>
        <v>PWSW2 Apprentice Program for MCL's</v>
      </c>
      <c r="Q23" s="147">
        <f>IF($N23="Y",((VLOOKUP($O23,Data2021,Q$4,0)+Pension2020)*PercIncr2022)-Pension2022,VLOOKUP($O23,Data2021,Q$4,0)+Pension2020-Pension2022)</f>
        <v>30.322257173933181</v>
      </c>
      <c r="R23" s="147">
        <f>IF($N23="Y",((VLOOKUP($O23,Data2021,R$4,0)+Pension2020)*PercIncr2022)-Pension2022,VLOOKUP($O23,Data2021,R$4,0)+Pension2020-Pension2022)</f>
        <v>31.109768390906908</v>
      </c>
      <c r="S23" s="147">
        <f>IF($N23="Y",((VLOOKUP($O23,Data2021,S$4,0)+Pension2020)*PercIncr2022)-Pension2022,VLOOKUP($O23,Data2021,S$4,0)+Pension2020-Pension2022)</f>
        <v>31.673856664055151</v>
      </c>
      <c r="T23" s="147">
        <f>IF($N23="Y",((VLOOKUP($O23,Data2021,T$4,0)+Pension2020)*PercIncr2022)-Pension2022,VLOOKUP($O23,Data2021,T$4,0)+Pension2020-Pension2022)</f>
        <v>32.237944937203395</v>
      </c>
      <c r="U23" s="147">
        <f>IF($N23="Y",((VLOOKUP($O23,Data2021,U$4,0)+Pension2020)*PercIncr2022)-Pension2022,VLOOKUP($O23,Data2021,U$4,0)+Pension2020-Pension2022)</f>
        <v>32.802033210351638</v>
      </c>
      <c r="V23" s="2"/>
      <c r="W23" s="116" t="str">
        <f>O23</f>
        <v>02622C</v>
      </c>
      <c r="X23" s="117">
        <f>C23</f>
        <v>37</v>
      </c>
      <c r="Y23" s="116" t="str">
        <f>D23</f>
        <v>PWSW2 Apprentice Program for MCL's</v>
      </c>
      <c r="Z23" s="123">
        <f>ROUND(Q23,3)</f>
        <v>30.321999999999999</v>
      </c>
      <c r="AA23" s="123">
        <f>ROUND(R23,3)</f>
        <v>31.11</v>
      </c>
      <c r="AB23" s="123">
        <f>ROUND(S23,3)</f>
        <v>31.673999999999999</v>
      </c>
      <c r="AC23" s="123">
        <f>ROUND(T23,3)</f>
        <v>32.238</v>
      </c>
      <c r="AD23" s="123">
        <f>ROUND(U23,3)</f>
        <v>32.802</v>
      </c>
    </row>
    <row r="24" spans="1:30" s="5" customFormat="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18.475199999999994</v>
      </c>
      <c r="I26" s="15">
        <f>R26</f>
        <v>21.617132499999993</v>
      </c>
      <c r="J26" s="15">
        <f>S26</f>
        <v>27.921804999999999</v>
      </c>
      <c r="K26" s="26"/>
      <c r="L26" s="26"/>
      <c r="M26" s="108"/>
      <c r="N26" s="148" t="s">
        <v>377</v>
      </c>
      <c r="O26" s="146" t="str">
        <f>A26</f>
        <v>52919C</v>
      </c>
      <c r="P26" s="139" t="str">
        <f>D26</f>
        <v>Auto Mechanic Trainee</v>
      </c>
      <c r="Q26" s="147">
        <f>IF($N26="Y",((VLOOKUP($O26,Data2021,Q$4,0)+Pension2020)*PercIncr2022)-Pension2022,VLOOKUP($O26,Data2021,Q$4,0)+Pension2020-Pension2022)</f>
        <v>18.475199999999994</v>
      </c>
      <c r="R26" s="147">
        <f>IF($N26="Y",((VLOOKUP($O26,Data2021,R$4,0)+Pension2020)*PercIncr2022)-Pension2022,VLOOKUP($O26,Data2021,R$4,0)+Pension2020-Pension2022)</f>
        <v>21.617132499999993</v>
      </c>
      <c r="S26" s="147">
        <f>IF($N26="Y",((VLOOKUP($O26,Data2021,S$4,0)+Pension2020)*PercIncr2022)-Pension2022,VLOOKUP($O26,Data2021,S$4,0)+Pension2020-Pension2022)</f>
        <v>27.921804999999999</v>
      </c>
      <c r="T26" s="147"/>
      <c r="U26" s="147"/>
      <c r="V26" s="2"/>
      <c r="W26" s="116" t="str">
        <f>O26</f>
        <v>52919C</v>
      </c>
      <c r="X26" s="117">
        <f>C26</f>
        <v>38</v>
      </c>
      <c r="Y26" s="116" t="str">
        <f>D26</f>
        <v>Auto Mechanic Trainee</v>
      </c>
      <c r="Z26" s="123">
        <f>ROUND(Q26,3)</f>
        <v>18.475000000000001</v>
      </c>
      <c r="AA26" s="123">
        <f>ROUND(R26,3)</f>
        <v>21.617000000000001</v>
      </c>
      <c r="AB26" s="123">
        <f>ROUND(S26,3)</f>
        <v>27.922000000000001</v>
      </c>
      <c r="AC26" s="123">
        <f>ROUND(T26,3)</f>
        <v>0</v>
      </c>
      <c r="AD26" s="123">
        <f>ROUND(U26,3)</f>
        <v>0</v>
      </c>
    </row>
    <row r="27" spans="1:30" s="5" customFormat="1" x14ac:dyDescent="0.2">
      <c r="A27" s="29"/>
      <c r="B27" s="29"/>
      <c r="C27" s="4"/>
      <c r="D27" s="23"/>
      <c r="E27" s="24"/>
      <c r="F27" s="24"/>
      <c r="G27" s="25"/>
      <c r="H27" s="4"/>
      <c r="I27" s="15"/>
      <c r="J27" s="4"/>
      <c r="K27" s="26"/>
      <c r="L27" s="26"/>
      <c r="M27" s="108"/>
      <c r="N27" s="148"/>
      <c r="O27" s="148"/>
      <c r="P27" s="139"/>
      <c r="Q27" s="140"/>
      <c r="R27" s="140"/>
      <c r="S27" s="140"/>
      <c r="T27" s="140"/>
      <c r="U27" s="140"/>
      <c r="V27" s="2"/>
      <c r="W27" s="116"/>
      <c r="X27" s="117"/>
      <c r="Y27" s="116"/>
      <c r="Z27" s="117"/>
      <c r="AA27" s="117"/>
      <c r="AB27" s="116"/>
      <c r="AC27" s="136"/>
      <c r="AD27" s="136"/>
    </row>
    <row r="28" spans="1:30" s="5" customFormat="1" ht="11.25" customHeigh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IF($N29="Y",VLOOKUP($O29,Data2021,Q$4,0)*PercIncr2022,VLOOKUP($O29,Data2021,Q$4,0))</f>
        <v>1.5</v>
      </c>
      <c r="R29" s="150" t="s">
        <v>385</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$1.259 per hour for all hours on the equipment.</v>
      </c>
      <c r="B37" s="33"/>
      <c r="C37" s="33"/>
      <c r="D37" s="33"/>
      <c r="G37"/>
      <c r="H37"/>
      <c r="I37" s="33"/>
      <c r="J37" s="33"/>
      <c r="K37" s="33"/>
      <c r="M37" s="33"/>
      <c r="N37" s="140" t="s">
        <v>377</v>
      </c>
      <c r="O37" s="139" t="s">
        <v>351</v>
      </c>
      <c r="P37" s="139" t="s">
        <v>352</v>
      </c>
      <c r="Q37" s="147">
        <f>IF($N37="Y",VLOOKUP($O37,Data2021,Q$4,0)*PercIncr2022,VLOOKUP($O37,Data2021,Q$4,0))</f>
        <v>1.2588537499999997</v>
      </c>
      <c r="W37" s="116" t="str">
        <f>O37</f>
        <v>CEQEQB</v>
      </c>
      <c r="Y37" s="116" t="str">
        <f>P37</f>
        <v>TL-Equipment B-CEQ</v>
      </c>
      <c r="Z37" s="123">
        <f>Q37</f>
        <v>1.2588537499999997</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$2.060 per  hour for all hours on the equipment.</v>
      </c>
      <c r="B40" s="33"/>
      <c r="C40" s="33"/>
      <c r="D40" s="33"/>
      <c r="G40"/>
      <c r="H40"/>
      <c r="I40" s="33"/>
      <c r="J40" s="33"/>
      <c r="K40" s="33"/>
      <c r="N40" s="140" t="s">
        <v>377</v>
      </c>
      <c r="O40" s="139" t="s">
        <v>350</v>
      </c>
      <c r="P40" s="139" t="s">
        <v>349</v>
      </c>
      <c r="Q40" s="147">
        <f>IF($N40="Y",VLOOKUP($O40,Data2021,Q$4,0)*PercIncr2022,VLOOKUP($O40,Data2021,Q$4,0))</f>
        <v>2.0599424999999996</v>
      </c>
      <c r="W40" s="116" t="str">
        <f>O40</f>
        <v>CEQEQC</v>
      </c>
      <c r="Y40" s="116" t="str">
        <f>P40</f>
        <v>TL-Equipment C-CEQ</v>
      </c>
      <c r="Z40" s="123">
        <f>Q40</f>
        <v>2.0599424999999996</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$1.887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IF($N44="Y",VLOOKUP($O44,Data2021,Q$4,0)*PercIncr2022,VLOOKUP($O44,Data2021,Q$4,0))</f>
        <v>1.8872402499999996</v>
      </c>
      <c r="W44" s="116" t="str">
        <f>O44</f>
        <v>CEQSPE</v>
      </c>
      <c r="Y44" s="116" t="str">
        <f>P44</f>
        <v>TL-Special Endorsement-CEQ</v>
      </c>
      <c r="Z44" s="123">
        <f>Q44</f>
        <v>1.8872402499999996</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$0.314 per hour for attaining and</v>
      </c>
      <c r="E49" s="83"/>
      <c r="L49" s="34"/>
      <c r="N49" s="140" t="s">
        <v>377</v>
      </c>
      <c r="O49" s="151" t="s">
        <v>342</v>
      </c>
      <c r="P49" s="151" t="s">
        <v>341</v>
      </c>
      <c r="Q49" s="147">
        <f>IF($N49="Y",VLOOKUP($O49,Data2021,Q$4,0)*PercIncr2022,VLOOKUP($O49,Data2021,Q$4,0))</f>
        <v>0.31419324999999992</v>
      </c>
      <c r="R49" s="140"/>
      <c r="S49" s="140"/>
      <c r="T49" s="140"/>
      <c r="U49" s="140"/>
      <c r="W49" s="116" t="str">
        <f>O49</f>
        <v>CEQHAZ</v>
      </c>
      <c r="X49" s="117"/>
      <c r="Y49" s="116" t="str">
        <f>P49</f>
        <v>Haz-Mat Certification</v>
      </c>
      <c r="Z49" s="123">
        <f>Q49</f>
        <v>0.31419324999999992</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$1.966 per hour</v>
      </c>
      <c r="E58" s="83"/>
      <c r="F58"/>
      <c r="G58"/>
      <c r="K58" s="34"/>
      <c r="L58" s="34"/>
      <c r="N58" s="140" t="s">
        <v>377</v>
      </c>
      <c r="O58" s="151" t="s">
        <v>345</v>
      </c>
      <c r="P58" s="151" t="s">
        <v>343</v>
      </c>
      <c r="Q58" s="147">
        <f>IF($N58="Y",VLOOKUP($O58,Data2021,Q$4,0)*PercIncr2022,VLOOKUP($O58,Data2021,Q$4,0))</f>
        <v>1.9663260168548033</v>
      </c>
      <c r="R58" s="140"/>
      <c r="S58" s="140"/>
      <c r="T58" s="140"/>
      <c r="U58" s="140"/>
      <c r="W58" s="116" t="str">
        <f>O58</f>
        <v>CEQOPA</v>
      </c>
      <c r="X58" s="117"/>
      <c r="Y58" s="116" t="str">
        <f t="shared" ref="Y58:Z60" si="7">P58</f>
        <v>TL-OSHA Prot Equip A-CEQ</v>
      </c>
      <c r="Z58" s="123">
        <f t="shared" si="7"/>
        <v>1.9663260168548033</v>
      </c>
      <c r="AA58" s="117"/>
      <c r="AB58" s="125"/>
      <c r="AC58" s="125"/>
      <c r="AD58" s="125"/>
    </row>
    <row r="59" spans="1:30" s="33" customFormat="1" x14ac:dyDescent="0.2">
      <c r="A59" s="47" t="str">
        <f>"Level B (as defined by OSHA) - "&amp;TEXT(Q59,"$0.000")&amp;" per hour"</f>
        <v>Level B (as defined by OSHA) - $1.414 per hour</v>
      </c>
      <c r="E59" s="83"/>
      <c r="F59"/>
      <c r="G59"/>
      <c r="K59" s="34"/>
      <c r="L59" s="34"/>
      <c r="N59" s="140" t="s">
        <v>377</v>
      </c>
      <c r="O59" s="151" t="s">
        <v>346</v>
      </c>
      <c r="P59" s="151" t="s">
        <v>344</v>
      </c>
      <c r="Q59" s="147">
        <f>IF($N59="Y",VLOOKUP($O59,Data2021,Q$4,0)*PercIncr2022,VLOOKUP($O59,Data2021,Q$4,0))</f>
        <v>1.4144198894086124</v>
      </c>
      <c r="R59" s="140"/>
      <c r="S59" s="140"/>
      <c r="T59" s="140"/>
      <c r="U59" s="140"/>
      <c r="W59" s="116" t="str">
        <f>O59</f>
        <v>CEQOPB</v>
      </c>
      <c r="X59" s="117"/>
      <c r="Y59" s="116" t="str">
        <f t="shared" si="7"/>
        <v>TL-OSHA Prot Equip B-CEQ</v>
      </c>
      <c r="Z59" s="123">
        <f t="shared" si="7"/>
        <v>1.4144198894086124</v>
      </c>
      <c r="AA59" s="117"/>
      <c r="AB59" s="125"/>
      <c r="AC59" s="125"/>
      <c r="AD59" s="125"/>
    </row>
    <row r="60" spans="1:30" x14ac:dyDescent="0.2">
      <c r="A60" s="47" t="str">
        <f>"Level C (as defined by OSHA) - "&amp;TEXT(Q60,"$0.000")&amp;" per hour"</f>
        <v>Level C (as defined by OSHA) - $0.943 per hour</v>
      </c>
      <c r="B60" s="20"/>
      <c r="C60" s="19"/>
      <c r="D60" s="19"/>
      <c r="E60" s="80"/>
      <c r="F60"/>
      <c r="G60"/>
      <c r="H60" s="37"/>
      <c r="I60" s="37"/>
      <c r="J60" s="37"/>
      <c r="K60" s="50"/>
      <c r="N60" s="140" t="s">
        <v>377</v>
      </c>
      <c r="O60" s="139" t="s">
        <v>326</v>
      </c>
      <c r="P60" s="139" t="s">
        <v>325</v>
      </c>
      <c r="Q60" s="147">
        <f>IF($N60="Y",VLOOKUP($O60,Data2021,Q$4,0)*PercIncr2022,VLOOKUP($O60,Data2021,Q$4,0))</f>
        <v>0.94337442714639741</v>
      </c>
      <c r="W60" s="116" t="str">
        <f>O60</f>
        <v>CEQOPC</v>
      </c>
      <c r="Y60" s="116" t="str">
        <f t="shared" si="7"/>
        <v>TL-OSHA Prot Equip C-CEQ</v>
      </c>
      <c r="Z60" s="123">
        <f t="shared" si="7"/>
        <v>0.94337442714639741</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$0.791 per hour for attaining and maintaining each of the 2 Core certifications.</v>
      </c>
      <c r="C65" s="39"/>
      <c r="D65" s="19"/>
      <c r="E65" s="19"/>
      <c r="F65" s="19"/>
      <c r="G65" s="19"/>
      <c r="H65" s="37"/>
      <c r="I65" s="37"/>
      <c r="J65" s="37"/>
      <c r="N65" s="140" t="s">
        <v>377</v>
      </c>
      <c r="O65" s="139" t="s">
        <v>369</v>
      </c>
      <c r="P65" s="139" t="s">
        <v>370</v>
      </c>
      <c r="Q65" s="147">
        <f>IF($N65="Y",VLOOKUP($O65,Data2021,Q$4,0)*PercIncr2022,VLOOKUP($O65,Data2021,Q$4,0))</f>
        <v>0.79123190912000008</v>
      </c>
      <c r="W65" s="116" t="str">
        <f>O65</f>
        <v>CEQWLC</v>
      </c>
      <c r="Y65" s="116" t="str">
        <f>P65</f>
        <v>Welding Certification - Core</v>
      </c>
      <c r="Z65" s="123">
        <f>Q65</f>
        <v>0.79123190912000008</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$0.791 for attaining and maintaining each of the 2 Supplemental certifications.</v>
      </c>
      <c r="C67" s="18"/>
      <c r="D67" s="19"/>
      <c r="E67" s="19"/>
      <c r="F67" s="19"/>
      <c r="G67" s="19"/>
      <c r="I67" s="37"/>
      <c r="J67" s="37"/>
      <c r="K67" s="50"/>
      <c r="N67" s="140" t="s">
        <v>377</v>
      </c>
      <c r="O67" s="139" t="s">
        <v>365</v>
      </c>
      <c r="P67" s="139" t="s">
        <v>366</v>
      </c>
      <c r="Q67" s="147">
        <f>IF($N67="Y",VLOOKUP($O67,Data2021,Q$4,0)*PercIncr2022,VLOOKUP($O67,Data2021,Q$4,0))</f>
        <v>0.79123190912000008</v>
      </c>
      <c r="W67" s="116" t="str">
        <f>O67</f>
        <v>CEQWLS</v>
      </c>
      <c r="Y67" s="116" t="str">
        <f>P67</f>
        <v>Welding Cert - Supplemental</v>
      </c>
      <c r="Z67" s="123">
        <f>Q67</f>
        <v>0.79123190912000008</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$0.791 per hour for each certification attained and maintained</v>
      </c>
      <c r="C70" s="19"/>
      <c r="E70" s="2"/>
      <c r="F70" s="19"/>
      <c r="G70" s="19"/>
      <c r="H70" s="37"/>
      <c r="I70" s="37"/>
      <c r="J70" s="37"/>
      <c r="N70" s="140" t="s">
        <v>377</v>
      </c>
      <c r="O70" s="139" t="s">
        <v>367</v>
      </c>
      <c r="P70" s="139" t="s">
        <v>368</v>
      </c>
      <c r="Q70" s="147">
        <f>IF($N70="Y",VLOOKUP($O70,Data2021,Q$4,0)*PercIncr2022,VLOOKUP($O70,Data2021,Q$4,0))</f>
        <v>0.79123190912000008</v>
      </c>
      <c r="W70" s="116" t="str">
        <f>O70</f>
        <v>CEQWL6</v>
      </c>
      <c r="Y70" s="116" t="str">
        <f>P70</f>
        <v>Welding Cert-Supplemental 6</v>
      </c>
      <c r="Z70" s="123">
        <f>Q70</f>
        <v>0.79123190912000008</v>
      </c>
    </row>
    <row r="71" spans="1:30" x14ac:dyDescent="0.2">
      <c r="A71" s="18"/>
      <c r="B71" s="20"/>
      <c r="C71" s="19"/>
      <c r="D71" s="19"/>
      <c r="E71" s="80"/>
      <c r="F71" s="19"/>
      <c r="G71" s="19"/>
      <c r="H71" s="37"/>
      <c r="I71" s="37"/>
      <c r="J71" s="37"/>
      <c r="O71" s="139" t="s">
        <v>401</v>
      </c>
      <c r="P71" s="139" t="s">
        <v>404</v>
      </c>
      <c r="Q71" s="147">
        <f>Q70</f>
        <v>0.79123190912000008</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$0.791 per hour for each certification group 'A' thorough 'D' attained and maintained.</v>
      </c>
      <c r="B73" s="20"/>
      <c r="C73" s="19"/>
      <c r="D73" s="19"/>
      <c r="E73" s="80"/>
      <c r="F73" s="19"/>
      <c r="G73" s="19"/>
      <c r="H73" s="37"/>
      <c r="I73" s="37"/>
      <c r="J73" s="19"/>
      <c r="N73" s="140" t="s">
        <v>377</v>
      </c>
      <c r="O73" s="139" t="s">
        <v>378</v>
      </c>
      <c r="Q73" s="147" t="e">
        <f>IF($N73="Y",VLOOKUP($O73,Data2021,Q$4,0)*PercIncr2022,VLOOKUP($O73,Data2021,Q$4,0))</f>
        <v>#N/A</v>
      </c>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IF($N75="Y",VLOOKUP($O75,Data2021,Q$4,0)*PercIncr2022,VLOOKUP($O75,Data2021,Q$4,0))</f>
        <v>0.79123190912000008</v>
      </c>
      <c r="W75" s="116" t="str">
        <f>O75</f>
        <v>CEQASA</v>
      </c>
      <c r="Y75" s="116" t="str">
        <f>P75</f>
        <v>ASE Certification - A</v>
      </c>
      <c r="Z75" s="123">
        <f>Q75</f>
        <v>0.79123190912000008</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$0.791/hour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$1.582/hour</v>
      </c>
      <c r="C78" s="33"/>
      <c r="D78" s="33"/>
      <c r="E78" s="83"/>
      <c r="F78" s="33"/>
      <c r="G78" s="33"/>
      <c r="H78"/>
      <c r="I78"/>
      <c r="J78"/>
      <c r="K78" s="60"/>
      <c r="N78" s="140" t="s">
        <v>377</v>
      </c>
      <c r="O78" s="139" t="s">
        <v>332</v>
      </c>
      <c r="P78" s="139" t="s">
        <v>328</v>
      </c>
      <c r="Q78" s="147">
        <f>IF($N78="Y",VLOOKUP($O78,Data2021,Q$4,0)*PercIncr2022,VLOOKUP($O78,Data2021,Q$4,0))</f>
        <v>1.5824638182400002</v>
      </c>
      <c r="W78" s="116" t="str">
        <f>O78</f>
        <v>CEQASB</v>
      </c>
      <c r="Y78" s="116" t="str">
        <f t="shared" ref="Y78:Z80" si="8">P78</f>
        <v>ASE Certification - B</v>
      </c>
      <c r="Z78" s="123">
        <f t="shared" si="8"/>
        <v>1.5824638182400002</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$2.374/hour</v>
      </c>
      <c r="E79" s="83"/>
      <c r="H79"/>
      <c r="I79"/>
      <c r="J79"/>
      <c r="K79" s="34"/>
      <c r="L79" s="34"/>
      <c r="N79" s="140" t="s">
        <v>377</v>
      </c>
      <c r="O79" s="139" t="s">
        <v>333</v>
      </c>
      <c r="P79" s="139" t="s">
        <v>329</v>
      </c>
      <c r="Q79" s="147">
        <f>IF($N79="Y",VLOOKUP($O79,Data2021,Q$4,0)*PercIncr2022,VLOOKUP($O79,Data2021,Q$4,0))</f>
        <v>2.3736957273600003</v>
      </c>
      <c r="R79" s="140"/>
      <c r="S79" s="140"/>
      <c r="T79" s="140"/>
      <c r="U79" s="140"/>
      <c r="W79" s="116" t="str">
        <f>O79</f>
        <v>CEQASC</v>
      </c>
      <c r="X79" s="117"/>
      <c r="Y79" s="116" t="str">
        <f t="shared" si="8"/>
        <v>ASE Certification - C</v>
      </c>
      <c r="Z79" s="123">
        <f t="shared" si="8"/>
        <v>2.3736957273600003</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$3.165/hour</v>
      </c>
      <c r="E80" s="83"/>
      <c r="H80"/>
      <c r="I80"/>
      <c r="J80"/>
      <c r="K80" s="34"/>
      <c r="L80" s="34"/>
      <c r="N80" s="140" t="s">
        <v>377</v>
      </c>
      <c r="O80" s="139" t="s">
        <v>334</v>
      </c>
      <c r="P80" s="139" t="s">
        <v>330</v>
      </c>
      <c r="Q80" s="147">
        <f>IF($N80="Y",VLOOKUP($O80,Data2021,Q$4,0)*PercIncr2022,VLOOKUP($O80,Data2021,Q$4,0))</f>
        <v>3.1649276364800003</v>
      </c>
      <c r="R80" s="140"/>
      <c r="S80" s="140"/>
      <c r="T80" s="140"/>
      <c r="U80" s="140"/>
      <c r="W80" s="116" t="str">
        <f>O80</f>
        <v>CEQASD</v>
      </c>
      <c r="X80" s="117"/>
      <c r="Y80" s="116" t="str">
        <f t="shared" si="8"/>
        <v>ASE Certification - D</v>
      </c>
      <c r="Z80" s="123">
        <f t="shared" si="8"/>
        <v>3.1649276364800003</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t="s">
        <v>210</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$3.957/hour</v>
      </c>
      <c r="C88" s="33"/>
      <c r="D88" s="33"/>
      <c r="E88" s="83"/>
      <c r="F88" s="33"/>
      <c r="G88" s="33"/>
      <c r="H88"/>
      <c r="I88"/>
      <c r="J88"/>
      <c r="K88" s="60"/>
      <c r="M88" s="2"/>
      <c r="N88" s="140" t="s">
        <v>377</v>
      </c>
      <c r="O88" s="139" t="s">
        <v>338</v>
      </c>
      <c r="P88" s="139" t="s">
        <v>335</v>
      </c>
      <c r="Q88" s="147">
        <f>IF($N88="Y",VLOOKUP($O88,Data2021,Q$4,0)*PercIncr2022,VLOOKUP($O88,Data2021,Q$4,0))</f>
        <v>3.9565461249999991</v>
      </c>
      <c r="R88" s="140"/>
      <c r="S88" s="140"/>
      <c r="T88" s="140"/>
      <c r="U88" s="140"/>
      <c r="V88" s="2"/>
      <c r="W88" s="116" t="str">
        <f>O88</f>
        <v>CEQASE</v>
      </c>
      <c r="X88" s="117"/>
      <c r="Y88" s="116" t="str">
        <f t="shared" ref="Y88:Z90" si="9">P88</f>
        <v>ASE Certification - E</v>
      </c>
      <c r="Z88" s="123">
        <f t="shared" si="9"/>
        <v>3.9565461249999991</v>
      </c>
      <c r="AA88" s="117"/>
      <c r="AB88" s="116"/>
      <c r="AC88" s="136"/>
      <c r="AD88" s="136"/>
    </row>
    <row r="89" spans="1:30" s="5" customFormat="1" ht="13.5" customHeight="1" x14ac:dyDescent="0.2">
      <c r="A89" s="113" t="s">
        <v>299</v>
      </c>
      <c r="B89" s="57" t="str">
        <f>"If an employee shows proof of successfully passing any twelve (12) of the ASE tests: "&amp;TEXT(Q89,"$0.000")&amp;"/hour"</f>
        <v>If an employee shows proof of successfully passing any twelve (12) of the ASE tests: $4.747/hour</v>
      </c>
      <c r="C89" s="33"/>
      <c r="D89" s="33"/>
      <c r="E89" s="83"/>
      <c r="F89" s="33"/>
      <c r="G89" s="33"/>
      <c r="H89" s="55"/>
      <c r="I89" s="61"/>
      <c r="J89" s="2"/>
      <c r="K89" s="60"/>
      <c r="M89" s="2"/>
      <c r="N89" s="140" t="s">
        <v>377</v>
      </c>
      <c r="O89" s="139" t="s">
        <v>339</v>
      </c>
      <c r="P89" s="139" t="s">
        <v>336</v>
      </c>
      <c r="Q89" s="147">
        <f>IF($N89="Y",VLOOKUP($O89,Data2021,Q$4,0)*PercIncr2022,VLOOKUP($O89,Data2021,Q$4,0))</f>
        <v>4.747231124999999</v>
      </c>
      <c r="R89" s="140"/>
      <c r="S89" s="140"/>
      <c r="T89" s="140"/>
      <c r="U89" s="140"/>
      <c r="V89" s="2"/>
      <c r="W89" s="116" t="str">
        <f>O89</f>
        <v>CEQASF</v>
      </c>
      <c r="X89" s="117"/>
      <c r="Y89" s="116" t="str">
        <f t="shared" si="9"/>
        <v>ASE Certification - F</v>
      </c>
      <c r="Z89" s="123">
        <f t="shared" si="9"/>
        <v>4.747231124999999</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$5.539 /hour</v>
      </c>
      <c r="C90" s="33"/>
      <c r="D90" s="33"/>
      <c r="E90" s="83"/>
      <c r="F90" s="33"/>
      <c r="G90" s="33"/>
      <c r="H90" s="55"/>
      <c r="I90" s="61"/>
      <c r="J90" s="2"/>
      <c r="K90" s="60"/>
      <c r="M90" s="2"/>
      <c r="N90" s="140" t="s">
        <v>377</v>
      </c>
      <c r="O90" s="139" t="s">
        <v>340</v>
      </c>
      <c r="P90" s="139" t="s">
        <v>337</v>
      </c>
      <c r="Q90" s="147">
        <f>IF($N90="Y",VLOOKUP($O90,Data2021,Q$4,0)*PercIncr2022,VLOOKUP($O90,Data2021,Q$4,0))</f>
        <v>5.5389564999999985</v>
      </c>
      <c r="R90" s="140"/>
      <c r="S90" s="140"/>
      <c r="T90" s="140"/>
      <c r="U90" s="140"/>
      <c r="V90" s="2"/>
      <c r="W90" s="116" t="str">
        <f>O90</f>
        <v>CEQASG</v>
      </c>
      <c r="X90" s="117"/>
      <c r="Y90" s="116" t="str">
        <f t="shared" si="9"/>
        <v>ASE Certification - G</v>
      </c>
      <c r="Z90" s="123">
        <f t="shared" si="9"/>
        <v>5.5389564999999985</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ht="13.5" customHeigh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$1.049 per hour on all compensated</v>
      </c>
      <c r="B115" s="20"/>
      <c r="C115" s="19"/>
      <c r="D115" s="19"/>
      <c r="E115" s="80"/>
      <c r="F115" s="19"/>
      <c r="G115" s="19"/>
      <c r="H115" s="2"/>
      <c r="I115"/>
      <c r="J115"/>
      <c r="K115" s="45"/>
      <c r="L115" s="34"/>
      <c r="N115" s="140" t="s">
        <v>377</v>
      </c>
      <c r="O115" s="151" t="s">
        <v>353</v>
      </c>
      <c r="P115" s="151" t="s">
        <v>354</v>
      </c>
      <c r="Q115" s="147">
        <f>IF($N115="Y",VLOOKUP($O115,Data2021,Q$4,0)*PercIncr2022,VLOOKUP($O115,Data2021,Q$4,0))</f>
        <v>1.0486979999999997</v>
      </c>
      <c r="R115" s="140"/>
      <c r="S115" s="140"/>
      <c r="T115" s="140"/>
      <c r="U115" s="140"/>
      <c r="W115" s="116" t="str">
        <f>O115</f>
        <v>CEQOTR</v>
      </c>
      <c r="X115" s="117"/>
      <c r="Y115" s="116" t="str">
        <f>P115</f>
        <v>TL-Outside Truck Premium-CEQ</v>
      </c>
      <c r="Z115" s="123">
        <f>Q115</f>
        <v>1.0486979999999997</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$1.049 per hour for hours worked.</v>
      </c>
      <c r="B116" s="20"/>
      <c r="C116" s="19"/>
      <c r="D116" s="19"/>
      <c r="E116" s="80"/>
      <c r="F116" s="19"/>
      <c r="G116" s="19"/>
      <c r="I116"/>
      <c r="J116"/>
      <c r="Q116" s="147"/>
    </row>
    <row r="117" spans="1:30" s="33" customFormat="1" ht="6.75" customHeigh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$0.505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IF($N120="Y",VLOOKUP($O120,Data2021,Q$4,0)*PercIncr2022,VLOOKUP($O120,Data2021,Q$4,0))</f>
        <v>0.50458187499999996</v>
      </c>
      <c r="W120" s="116" t="str">
        <f>O120</f>
        <v>CEQCNF</v>
      </c>
      <c r="Y120" s="116" t="str">
        <f>P120</f>
        <v>TL-Confined Space Entry-CEQ</v>
      </c>
      <c r="Z120" s="123">
        <f>Q120</f>
        <v>0.50458187499999996</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IF($N137="Y",VLOOKUP($O137,Data2021,Q$4,0)*PercIncr2022,VLOOKUP($O137,Data2021,Q$4,0))</f>
        <v>1.5127052499999998</v>
      </c>
      <c r="W137" s="116" t="str">
        <f>O137</f>
        <v>CEQEVE</v>
      </c>
      <c r="Y137" s="116" t="str">
        <f t="shared" ref="Y137:Z139" si="10">P137</f>
        <v>TL-Evening Shift Premium-CEQ</v>
      </c>
      <c r="Z137" s="123">
        <f t="shared" si="10"/>
        <v>1.5127052499999998</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$1.513 per hour for all hours worked on the qualified shift,</v>
      </c>
      <c r="B138" s="20"/>
      <c r="C138" s="19"/>
      <c r="D138" s="19"/>
      <c r="E138" s="80"/>
      <c r="F138" s="19"/>
      <c r="G138" s="19"/>
      <c r="H138" s="37"/>
      <c r="I138" s="37"/>
      <c r="J138" s="37"/>
      <c r="N138" s="140" t="s">
        <v>377</v>
      </c>
      <c r="O138" s="139" t="s">
        <v>359</v>
      </c>
      <c r="P138" s="139" t="s">
        <v>360</v>
      </c>
      <c r="Q138" s="147">
        <f>IF($N138="Y",VLOOKUP($O138,Data2021,Q$4,0)*PercIncr2022,VLOOKUP($O138,Data2021,Q$4,0))</f>
        <v>1.5127052499999998</v>
      </c>
      <c r="W138" s="116" t="str">
        <f>O138</f>
        <v>CEQAM1</v>
      </c>
      <c r="Y138" s="116" t="str">
        <f t="shared" si="10"/>
        <v>TL-Morning Shift Premium CEQ</v>
      </c>
      <c r="Z138" s="123">
        <f t="shared" si="10"/>
        <v>1.5127052499999998</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IF($N139="Y",VLOOKUP($O139,Data2021,Q$4,0)*PercIncr2022,VLOOKUP($O139,Data2021,Q$4,0))</f>
        <v>1.5127052499999998</v>
      </c>
      <c r="W139" s="116" t="str">
        <f>O139</f>
        <v>CEQWKE</v>
      </c>
      <c r="Y139" s="116" t="str">
        <f t="shared" si="10"/>
        <v>TL-Weekend Shift-CEQ</v>
      </c>
      <c r="Z139" s="123">
        <f t="shared" si="10"/>
        <v>1.5127052499999998</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0.26009374999999996</v>
      </c>
      <c r="B145" s="57" t="s">
        <v>174</v>
      </c>
      <c r="C145" s="72"/>
      <c r="D145" s="72"/>
      <c r="E145" s="87"/>
      <c r="F145" s="73"/>
      <c r="G145" s="73"/>
      <c r="H145" s="37"/>
      <c r="I145" s="37"/>
      <c r="J145" s="55"/>
      <c r="N145" s="140" t="s">
        <v>377</v>
      </c>
      <c r="O145" s="139" t="s">
        <v>371</v>
      </c>
      <c r="Q145" s="147">
        <f>IF($N145="Y",VLOOKUP($O145,Data2021,Q$4,0)*PercIncr2022,VLOOKUP($O145,Data2021,Q$4,0))</f>
        <v>0.26009374999999996</v>
      </c>
      <c r="W145" s="116" t="str">
        <f>O145</f>
        <v>10th</v>
      </c>
      <c r="Y145" s="116">
        <f t="shared" ref="Y145:Z148" si="11">P145</f>
        <v>0</v>
      </c>
      <c r="Z145" s="123">
        <f t="shared" si="11"/>
        <v>0.26009374999999996</v>
      </c>
    </row>
    <row r="146" spans="1:30" s="5" customFormat="1" x14ac:dyDescent="0.2">
      <c r="A146" s="110">
        <f>Q146</f>
        <v>0.43799787499999993</v>
      </c>
      <c r="B146" s="57" t="s">
        <v>175</v>
      </c>
      <c r="C146" s="72"/>
      <c r="D146" s="72"/>
      <c r="E146" s="87"/>
      <c r="F146" s="73"/>
      <c r="G146" s="73"/>
      <c r="H146" s="37"/>
      <c r="I146" s="37"/>
      <c r="J146" s="55"/>
      <c r="K146" s="50"/>
      <c r="M146" s="2"/>
      <c r="N146" s="140" t="s">
        <v>377</v>
      </c>
      <c r="O146" s="139" t="s">
        <v>372</v>
      </c>
      <c r="P146" s="139"/>
      <c r="Q146" s="147">
        <f>IF($N146="Y",VLOOKUP($O146,Data2021,Q$4,0)*PercIncr2022,VLOOKUP($O146,Data2021,Q$4,0))</f>
        <v>0.43799787499999993</v>
      </c>
      <c r="R146" s="140"/>
      <c r="S146" s="140"/>
      <c r="T146" s="140"/>
      <c r="U146" s="140"/>
      <c r="V146" s="2"/>
      <c r="W146" s="116" t="str">
        <f>O146</f>
        <v>15th</v>
      </c>
      <c r="X146" s="117"/>
      <c r="Y146" s="116">
        <f t="shared" si="11"/>
        <v>0</v>
      </c>
      <c r="Z146" s="123">
        <f t="shared" si="11"/>
        <v>0.43799787499999993</v>
      </c>
      <c r="AA146" s="117"/>
      <c r="AB146" s="116"/>
      <c r="AC146" s="136"/>
      <c r="AD146" s="136"/>
    </row>
    <row r="147" spans="1:30" s="5" customFormat="1" x14ac:dyDescent="0.2">
      <c r="A147" s="110">
        <f>Q147</f>
        <v>0.51810674999999995</v>
      </c>
      <c r="B147" s="57" t="s">
        <v>176</v>
      </c>
      <c r="C147" s="72"/>
      <c r="D147" s="72"/>
      <c r="E147" s="87"/>
      <c r="F147" s="73"/>
      <c r="G147" s="73"/>
      <c r="H147" s="37"/>
      <c r="I147" s="37"/>
      <c r="J147" s="55"/>
      <c r="K147" s="50"/>
      <c r="M147" s="2"/>
      <c r="N147" s="140" t="s">
        <v>377</v>
      </c>
      <c r="O147" s="139" t="s">
        <v>373</v>
      </c>
      <c r="P147" s="139"/>
      <c r="Q147" s="147">
        <f>IF($N147="Y",VLOOKUP($O147,Data2021,Q$4,0)*PercIncr2022,VLOOKUP($O147,Data2021,Q$4,0))</f>
        <v>0.51810674999999995</v>
      </c>
      <c r="R147" s="140"/>
      <c r="S147" s="140"/>
      <c r="T147" s="140"/>
      <c r="U147" s="140"/>
      <c r="V147" s="2"/>
      <c r="W147" s="116" t="str">
        <f>O147</f>
        <v>20th</v>
      </c>
      <c r="X147" s="117"/>
      <c r="Y147" s="116">
        <f t="shared" si="11"/>
        <v>0</v>
      </c>
      <c r="Z147" s="123">
        <f t="shared" si="11"/>
        <v>0.51810674999999995</v>
      </c>
      <c r="AA147" s="117"/>
      <c r="AB147" s="116"/>
      <c r="AC147" s="136"/>
      <c r="AD147" s="136"/>
    </row>
    <row r="148" spans="1:30" s="5" customFormat="1" x14ac:dyDescent="0.2">
      <c r="A148" s="110">
        <f>Q148</f>
        <v>0.74490849999999986</v>
      </c>
      <c r="B148" s="57" t="s">
        <v>177</v>
      </c>
      <c r="C148" s="72"/>
      <c r="D148" s="72"/>
      <c r="E148" s="87"/>
      <c r="F148" s="73"/>
      <c r="G148" s="73"/>
      <c r="H148" s="37"/>
      <c r="I148" s="37"/>
      <c r="J148" s="55"/>
      <c r="K148" s="50"/>
      <c r="M148" s="2"/>
      <c r="N148" s="140" t="s">
        <v>377</v>
      </c>
      <c r="O148" s="139" t="s">
        <v>374</v>
      </c>
      <c r="P148" s="139"/>
      <c r="Q148" s="147">
        <f>IF($N148="Y",VLOOKUP($O148,Data2021,Q$4,0)*PercIncr2022,VLOOKUP($O148,Data2021,Q$4,0))</f>
        <v>0.74490849999999986</v>
      </c>
      <c r="R148" s="140"/>
      <c r="S148" s="140"/>
      <c r="T148" s="140"/>
      <c r="U148" s="140"/>
      <c r="V148" s="2"/>
      <c r="W148" s="116" t="str">
        <f>O148</f>
        <v>25th</v>
      </c>
      <c r="X148" s="117"/>
      <c r="Y148" s="116">
        <f t="shared" si="11"/>
        <v>0</v>
      </c>
      <c r="Z148" s="123">
        <f t="shared" si="11"/>
        <v>0.74490849999999986</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$3.319 per hour for all hours shall be paid.</v>
      </c>
      <c r="B152" s="2"/>
      <c r="C152" s="2"/>
      <c r="D152" s="2"/>
      <c r="E152" s="77"/>
      <c r="F152" s="2"/>
      <c r="G152" s="2"/>
      <c r="H152" s="2"/>
      <c r="I152" s="2"/>
      <c r="J152" s="2"/>
      <c r="M152" s="2"/>
      <c r="N152" s="140" t="s">
        <v>377</v>
      </c>
      <c r="O152" s="139" t="s">
        <v>363</v>
      </c>
      <c r="P152" s="139" t="s">
        <v>364</v>
      </c>
      <c r="Q152" s="147">
        <f>IF($N152="Y",VLOOKUP($O152,Data2021,Q$4,0)*PercIncr2022,VLOOKUP($O152,Data2021,Q$4,0))</f>
        <v>3.3187962499999992</v>
      </c>
      <c r="R152" s="140"/>
      <c r="S152" s="140"/>
      <c r="T152" s="140"/>
      <c r="U152" s="140"/>
      <c r="V152" s="2"/>
      <c r="W152" s="116" t="str">
        <f>O152</f>
        <v>CEQTPP</v>
      </c>
      <c r="X152" s="117"/>
      <c r="Y152" s="116" t="str">
        <f>P152</f>
        <v>TL-Training Premium Pay-CEQ</v>
      </c>
      <c r="Z152" s="123">
        <f>Q152</f>
        <v>3.3187962499999992</v>
      </c>
      <c r="AA152" s="117"/>
      <c r="AB152" s="116"/>
      <c r="AC152" s="136"/>
      <c r="AD152" s="136"/>
    </row>
    <row r="153" spans="1:30" x14ac:dyDescent="0.2">
      <c r="Q153" s="147"/>
      <c r="AC153" s="136"/>
      <c r="AD153" s="136"/>
    </row>
    <row r="154" spans="1:30" x14ac:dyDescent="0.2">
      <c r="A154" s="70" t="s">
        <v>199</v>
      </c>
    </row>
  </sheetData>
  <pageMargins left="0.25" right="0.25" top="0.75" bottom="0.75" header="0.3" footer="0.3"/>
  <pageSetup scale="8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9446-5AD0-437A-8799-8EFA0D2D0963}">
  <sheetPr codeName="Sheet11">
    <tabColor theme="1"/>
    <pageSetUpPr fitToPage="1"/>
  </sheetPr>
  <dimension ref="A1:AD154"/>
  <sheetViews>
    <sheetView showGridLines="0" zoomScale="110" zoomScaleNormal="110" workbookViewId="0"/>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9.85546875" style="2" bestFit="1" customWidth="1"/>
    <col min="9" max="9" width="10.85546875" style="2" bestFit="1" customWidth="1"/>
    <col min="10" max="10" width="10.140625" style="2" bestFit="1" customWidth="1"/>
    <col min="11" max="11" width="10.140625" style="5" bestFit="1" customWidth="1"/>
    <col min="12" max="12" width="9.7109375" style="5" bestFit="1" customWidth="1"/>
    <col min="13" max="13" width="12.7109375" style="2" hidden="1" customWidth="1"/>
    <col min="14" max="14" width="11.5703125" style="140" hidden="1" customWidth="1"/>
    <col min="15" max="15" width="8.7109375" style="139" hidden="1" customWidth="1"/>
    <col min="16" max="16" width="35.28515625" style="139" hidden="1" customWidth="1"/>
    <col min="17" max="17" width="19.5703125" style="140" hidden="1" customWidth="1"/>
    <col min="18" max="18" width="11.28515625" style="140" hidden="1" customWidth="1"/>
    <col min="19" max="21" width="7.42578125" style="140" hidden="1" customWidth="1"/>
    <col min="22" max="22" width="0" style="2" hidden="1" customWidth="1"/>
    <col min="23" max="23" width="9.140625" style="116" hidden="1" customWidth="1"/>
    <col min="24" max="24" width="11.7109375" style="117" hidden="1" customWidth="1"/>
    <col min="25" max="25" width="35.28515625" style="116" hidden="1" customWidth="1"/>
    <col min="26" max="26" width="19.5703125" style="117" hidden="1" customWidth="1"/>
    <col min="27" max="27" width="7.42578125" style="117" hidden="1" customWidth="1"/>
    <col min="28" max="30" width="7.42578125" style="116" hidden="1" customWidth="1"/>
    <col min="31" max="31" width="0" style="2" hidden="1" customWidth="1"/>
    <col min="32" max="16384" width="9.140625" style="2"/>
  </cols>
  <sheetData>
    <row r="1" spans="1:30" x14ac:dyDescent="0.2">
      <c r="A1" s="1" t="s">
        <v>0</v>
      </c>
      <c r="D1" s="3"/>
      <c r="I1" s="4"/>
      <c r="J1" s="4"/>
      <c r="N1" s="137" t="s">
        <v>386</v>
      </c>
      <c r="O1" s="138">
        <v>1.0249999999999999</v>
      </c>
    </row>
    <row r="2" spans="1:30" x14ac:dyDescent="0.2">
      <c r="A2" s="2" t="s">
        <v>395</v>
      </c>
      <c r="D2" s="3"/>
      <c r="I2" s="4"/>
      <c r="J2" s="4"/>
      <c r="K2" s="6"/>
    </row>
    <row r="3" spans="1:30" x14ac:dyDescent="0.2">
      <c r="A3" s="134" t="s">
        <v>394</v>
      </c>
      <c r="D3" s="3"/>
      <c r="I3" s="4"/>
      <c r="J3" s="4"/>
      <c r="K3" s="6"/>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191</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30.564166232336021</v>
      </c>
      <c r="I6" s="15">
        <f>R6</f>
        <v>31.899103334375404</v>
      </c>
      <c r="J6" s="135"/>
      <c r="K6" s="16"/>
      <c r="L6" s="93"/>
      <c r="M6" s="93"/>
      <c r="N6" s="146" t="s">
        <v>377</v>
      </c>
      <c r="O6" s="146" t="str">
        <f>A6</f>
        <v>01180C</v>
      </c>
      <c r="P6" s="139" t="str">
        <f>D6</f>
        <v>Automotive Mechanic</v>
      </c>
      <c r="Q6" s="147">
        <f t="shared" ref="Q6:R12" si="0">IF($N6="Y",((VLOOKUP($O6,Data2022,Q$4,0)+Pension2020)*PercIncr2023)-Pension2023,VLOOKUP($O6,Data2022,Q$4,0)+Pension2020-Pension2023)</f>
        <v>30.564166232336021</v>
      </c>
      <c r="R6" s="147">
        <f t="shared" si="0"/>
        <v>31.899103334375404</v>
      </c>
      <c r="W6" s="116" t="str">
        <f t="shared" ref="W6:W13" si="1">O6</f>
        <v>01180C</v>
      </c>
      <c r="X6" s="117">
        <f t="shared" ref="X6:X13" si="2">C6</f>
        <v>21</v>
      </c>
      <c r="Y6" s="116" t="str">
        <f t="shared" ref="Y6:Y13" si="3">D6</f>
        <v>Automotive Mechanic</v>
      </c>
      <c r="Z6" s="123">
        <f>ROUND(Q6,3)</f>
        <v>30.564</v>
      </c>
      <c r="AA6" s="123">
        <f>ROUND(R6,3)</f>
        <v>31.899000000000001</v>
      </c>
    </row>
    <row r="7" spans="1:30" x14ac:dyDescent="0.2">
      <c r="A7" s="4" t="s">
        <v>249</v>
      </c>
      <c r="B7" s="4" t="s">
        <v>184</v>
      </c>
      <c r="C7" s="75" t="s">
        <v>194</v>
      </c>
      <c r="D7" s="3" t="s">
        <v>248</v>
      </c>
      <c r="E7" s="4">
        <v>328</v>
      </c>
      <c r="F7" s="4">
        <v>7</v>
      </c>
      <c r="G7" s="4" t="s">
        <v>14</v>
      </c>
      <c r="H7" s="15">
        <f t="shared" ref="H7:I13" si="4">Q7</f>
        <v>33.316730034296867</v>
      </c>
      <c r="I7" s="15">
        <f t="shared" si="4"/>
        <v>36.013547156120019</v>
      </c>
      <c r="J7" s="4"/>
      <c r="K7" s="16"/>
      <c r="L7" s="93"/>
      <c r="M7" s="93"/>
      <c r="N7" s="146" t="s">
        <v>377</v>
      </c>
      <c r="O7" s="146" t="str">
        <f t="shared" ref="O7:O15" si="5">A7</f>
        <v xml:space="preserve">52930C </v>
      </c>
      <c r="P7" s="139" t="str">
        <f t="shared" ref="P7:P15" si="6">D7</f>
        <v>Fleet Equipment Repair Coordinator</v>
      </c>
      <c r="Q7" s="147">
        <f t="shared" si="0"/>
        <v>33.316730034296867</v>
      </c>
      <c r="R7" s="147">
        <f t="shared" si="0"/>
        <v>36.013547156120019</v>
      </c>
      <c r="S7" s="147"/>
      <c r="T7" s="147"/>
      <c r="U7" s="147"/>
      <c r="W7" s="116" t="str">
        <f t="shared" si="1"/>
        <v xml:space="preserve">52930C </v>
      </c>
      <c r="X7" s="117" t="str">
        <f t="shared" si="2"/>
        <v>12</v>
      </c>
      <c r="Y7" s="116" t="str">
        <f t="shared" si="3"/>
        <v>Fleet Equipment Repair Coordinator</v>
      </c>
      <c r="Z7" s="123">
        <f t="shared" ref="Z7:Z12" si="7">ROUND(Q7,3)</f>
        <v>33.317</v>
      </c>
      <c r="AA7" s="123">
        <f t="shared" ref="AA7:AA13" si="8">ROUND(R7,3)</f>
        <v>36.014000000000003</v>
      </c>
    </row>
    <row r="8" spans="1:30" x14ac:dyDescent="0.2">
      <c r="A8" s="4" t="s">
        <v>17</v>
      </c>
      <c r="B8" s="4" t="s">
        <v>184</v>
      </c>
      <c r="C8" s="75" t="s">
        <v>194</v>
      </c>
      <c r="D8" s="3" t="s">
        <v>18</v>
      </c>
      <c r="E8" s="4">
        <v>335</v>
      </c>
      <c r="F8" s="4">
        <v>7</v>
      </c>
      <c r="G8" s="4" t="s">
        <v>14</v>
      </c>
      <c r="H8" s="15">
        <f t="shared" si="4"/>
        <v>33.316587271709999</v>
      </c>
      <c r="I8" s="15">
        <f t="shared" si="4"/>
        <v>36.013547156120019</v>
      </c>
      <c r="J8" s="4"/>
      <c r="K8" s="16"/>
      <c r="L8" s="93"/>
      <c r="M8" s="93"/>
      <c r="N8" s="146" t="s">
        <v>377</v>
      </c>
      <c r="O8" s="146" t="str">
        <f t="shared" si="5"/>
        <v>04520C</v>
      </c>
      <c r="P8" s="139" t="str">
        <f t="shared" si="6"/>
        <v>Foreman Auto Mechanic</v>
      </c>
      <c r="Q8" s="147">
        <f t="shared" si="0"/>
        <v>33.316587271709999</v>
      </c>
      <c r="R8" s="147">
        <f t="shared" si="0"/>
        <v>36.013547156120019</v>
      </c>
      <c r="W8" s="116" t="str">
        <f t="shared" si="1"/>
        <v>04520C</v>
      </c>
      <c r="X8" s="117" t="str">
        <f t="shared" si="2"/>
        <v>12</v>
      </c>
      <c r="Y8" s="116" t="str">
        <f t="shared" si="3"/>
        <v>Foreman Auto Mechanic</v>
      </c>
      <c r="Z8" s="123">
        <f t="shared" si="7"/>
        <v>33.317</v>
      </c>
      <c r="AA8" s="123">
        <f t="shared" si="8"/>
        <v>36.014000000000003</v>
      </c>
    </row>
    <row r="9" spans="1:30" x14ac:dyDescent="0.2">
      <c r="A9" s="4" t="s">
        <v>19</v>
      </c>
      <c r="B9" s="4" t="s">
        <v>184</v>
      </c>
      <c r="C9" s="75" t="s">
        <v>197</v>
      </c>
      <c r="D9" s="3" t="s">
        <v>20</v>
      </c>
      <c r="E9" s="4">
        <v>393</v>
      </c>
      <c r="F9" s="4">
        <v>8</v>
      </c>
      <c r="G9" s="4" t="s">
        <v>14</v>
      </c>
      <c r="H9" s="15">
        <f t="shared" si="4"/>
        <v>36.165742883695536</v>
      </c>
      <c r="I9" s="15">
        <f t="shared" si="4"/>
        <v>39.746211864624385</v>
      </c>
      <c r="J9" s="4"/>
      <c r="K9" s="16"/>
      <c r="L9" s="93"/>
      <c r="M9" s="93"/>
      <c r="N9" s="146" t="s">
        <v>377</v>
      </c>
      <c r="O9" s="146" t="str">
        <f t="shared" si="5"/>
        <v>04820C</v>
      </c>
      <c r="P9" s="139" t="str">
        <f t="shared" si="6"/>
        <v>Foreman Paving Products Plant</v>
      </c>
      <c r="Q9" s="147">
        <f t="shared" si="0"/>
        <v>36.165742883695536</v>
      </c>
      <c r="R9" s="147">
        <f t="shared" si="0"/>
        <v>39.746211864624385</v>
      </c>
      <c r="W9" s="116" t="str">
        <f t="shared" si="1"/>
        <v>04820C</v>
      </c>
      <c r="X9" s="117" t="str">
        <f t="shared" si="2"/>
        <v>35</v>
      </c>
      <c r="Y9" s="116" t="str">
        <f t="shared" si="3"/>
        <v>Foreman Paving Products Plant</v>
      </c>
      <c r="Z9" s="123">
        <f t="shared" si="7"/>
        <v>36.165999999999997</v>
      </c>
      <c r="AA9" s="123">
        <f t="shared" si="8"/>
        <v>39.746000000000002</v>
      </c>
    </row>
    <row r="10" spans="1:30" x14ac:dyDescent="0.2">
      <c r="A10" s="4" t="s">
        <v>21</v>
      </c>
      <c r="B10" s="4" t="s">
        <v>184</v>
      </c>
      <c r="C10" s="75" t="s">
        <v>193</v>
      </c>
      <c r="D10" s="14" t="s">
        <v>22</v>
      </c>
      <c r="E10" s="4">
        <v>295</v>
      </c>
      <c r="F10" s="4">
        <v>6</v>
      </c>
      <c r="G10" s="4" t="s">
        <v>14</v>
      </c>
      <c r="H10" s="15">
        <f t="shared" si="4"/>
        <v>29.434306424233107</v>
      </c>
      <c r="I10" s="15">
        <f t="shared" si="4"/>
        <v>31.581813936209528</v>
      </c>
      <c r="J10" s="4"/>
      <c r="K10" s="16"/>
      <c r="L10" s="93"/>
      <c r="M10" s="93"/>
      <c r="N10" s="146" t="s">
        <v>377</v>
      </c>
      <c r="O10" s="146" t="str">
        <f t="shared" si="5"/>
        <v>07115C</v>
      </c>
      <c r="P10" s="139" t="str">
        <f t="shared" si="6"/>
        <v>Metal Fabrication &amp; Welding Specialist</v>
      </c>
      <c r="Q10" s="147">
        <f t="shared" si="0"/>
        <v>29.434306424233107</v>
      </c>
      <c r="R10" s="147">
        <f t="shared" si="0"/>
        <v>31.581813936209528</v>
      </c>
      <c r="W10" s="116" t="str">
        <f t="shared" si="1"/>
        <v>07115C</v>
      </c>
      <c r="X10" s="117" t="str">
        <f t="shared" si="2"/>
        <v>07</v>
      </c>
      <c r="Y10" s="116" t="str">
        <f t="shared" si="3"/>
        <v>Metal Fabrication &amp; Welding Specialist</v>
      </c>
      <c r="Z10" s="123">
        <f t="shared" si="7"/>
        <v>29.434000000000001</v>
      </c>
      <c r="AA10" s="123">
        <f t="shared" si="8"/>
        <v>31.582000000000001</v>
      </c>
    </row>
    <row r="11" spans="1:30" x14ac:dyDescent="0.2">
      <c r="A11" s="4" t="s">
        <v>255</v>
      </c>
      <c r="B11" s="4" t="s">
        <v>184</v>
      </c>
      <c r="C11" s="75" t="s">
        <v>194</v>
      </c>
      <c r="D11" s="14" t="s">
        <v>251</v>
      </c>
      <c r="E11" s="4">
        <v>328</v>
      </c>
      <c r="F11" s="4">
        <v>7</v>
      </c>
      <c r="G11" s="4" t="s">
        <v>14</v>
      </c>
      <c r="H11" s="15">
        <f t="shared" si="4"/>
        <v>33.316730034296867</v>
      </c>
      <c r="I11" s="15">
        <f t="shared" si="4"/>
        <v>36.013547156120019</v>
      </c>
      <c r="J11" s="4"/>
      <c r="K11" s="16"/>
      <c r="L11" s="93"/>
      <c r="M11" s="93"/>
      <c r="N11" s="146" t="s">
        <v>377</v>
      </c>
      <c r="O11" s="146" t="str">
        <f t="shared" si="5"/>
        <v>52973C</v>
      </c>
      <c r="P11" s="139" t="str">
        <f t="shared" si="6"/>
        <v>Sanitation Equipment Repair Coordinator</v>
      </c>
      <c r="Q11" s="147">
        <f t="shared" si="0"/>
        <v>33.316730034296867</v>
      </c>
      <c r="R11" s="147">
        <f t="shared" si="0"/>
        <v>36.013547156120019</v>
      </c>
      <c r="W11" s="116" t="str">
        <f t="shared" si="1"/>
        <v>52973C</v>
      </c>
      <c r="X11" s="117" t="str">
        <f t="shared" si="2"/>
        <v>12</v>
      </c>
      <c r="Y11" s="116" t="str">
        <f t="shared" si="3"/>
        <v>Sanitation Equipment Repair Coordinator</v>
      </c>
      <c r="Z11" s="123">
        <f t="shared" si="7"/>
        <v>33.317</v>
      </c>
      <c r="AA11" s="123">
        <f t="shared" si="8"/>
        <v>36.014000000000003</v>
      </c>
    </row>
    <row r="12" spans="1:30" x14ac:dyDescent="0.2">
      <c r="A12" s="4" t="s">
        <v>23</v>
      </c>
      <c r="B12" s="4" t="s">
        <v>184</v>
      </c>
      <c r="C12" s="75" t="s">
        <v>192</v>
      </c>
      <c r="D12" s="3" t="s">
        <v>214</v>
      </c>
      <c r="E12" s="4">
        <v>295</v>
      </c>
      <c r="F12" s="4">
        <v>6</v>
      </c>
      <c r="G12" s="4" t="s">
        <v>14</v>
      </c>
      <c r="H12" s="15">
        <f t="shared" si="4"/>
        <v>30.564166232336021</v>
      </c>
      <c r="I12" s="15">
        <f t="shared" si="4"/>
        <v>31.899103334375404</v>
      </c>
      <c r="J12" s="4"/>
      <c r="K12" s="16"/>
      <c r="L12" s="93"/>
      <c r="M12" s="93"/>
      <c r="N12" s="146" t="s">
        <v>377</v>
      </c>
      <c r="O12" s="146" t="str">
        <f t="shared" si="5"/>
        <v>10960C</v>
      </c>
      <c r="P12" s="139" t="str">
        <f t="shared" si="6"/>
        <v>Welder, Shop</v>
      </c>
      <c r="Q12" s="147">
        <f t="shared" si="0"/>
        <v>30.564166232336021</v>
      </c>
      <c r="R12" s="147">
        <f t="shared" si="0"/>
        <v>31.899103334375404</v>
      </c>
      <c r="W12" s="116" t="str">
        <f t="shared" si="1"/>
        <v>10960C</v>
      </c>
      <c r="X12" s="117" t="str">
        <f t="shared" si="2"/>
        <v>05</v>
      </c>
      <c r="Y12" s="116" t="str">
        <f t="shared" si="3"/>
        <v>Welder, Shop</v>
      </c>
      <c r="Z12" s="123">
        <f t="shared" si="7"/>
        <v>30.564</v>
      </c>
      <c r="AA12" s="123">
        <f t="shared" si="8"/>
        <v>31.899000000000001</v>
      </c>
    </row>
    <row r="13" spans="1:30" x14ac:dyDescent="0.2">
      <c r="A13" s="4" t="s">
        <v>25</v>
      </c>
      <c r="B13" s="4" t="s">
        <v>184</v>
      </c>
      <c r="C13" s="75" t="s">
        <v>195</v>
      </c>
      <c r="D13" s="3" t="s">
        <v>283</v>
      </c>
      <c r="E13" s="4">
        <v>285</v>
      </c>
      <c r="F13" s="4">
        <v>6</v>
      </c>
      <c r="G13" s="4" t="s">
        <v>14</v>
      </c>
      <c r="H13" s="15" t="str">
        <f t="shared" si="4"/>
        <v>NA</v>
      </c>
      <c r="I13" s="15">
        <f t="shared" si="4"/>
        <v>33.659584040610426</v>
      </c>
      <c r="J13" s="4"/>
      <c r="K13" s="93"/>
      <c r="L13" s="93"/>
      <c r="M13" s="93"/>
      <c r="N13" s="146" t="s">
        <v>377</v>
      </c>
      <c r="O13" s="146" t="str">
        <f t="shared" si="5"/>
        <v>08569C</v>
      </c>
      <c r="P13" s="139" t="str">
        <f t="shared" si="6"/>
        <v>Public Works Service Worker 2 (PWSW2)</v>
      </c>
      <c r="Q13" s="147" t="s">
        <v>380</v>
      </c>
      <c r="R13" s="147">
        <f>IF($N13="Y",((VLOOKUP($O13,Data2022,R$4,0)+Pension2020)*PercIncr2023)-Pension2023,VLOOKUP($O13,Data2022,R$4,0)+Pension2020-Pension2023)</f>
        <v>33.659584040610426</v>
      </c>
      <c r="W13" s="116" t="str">
        <f t="shared" si="1"/>
        <v>08569C</v>
      </c>
      <c r="X13" s="117" t="str">
        <f t="shared" si="2"/>
        <v>20</v>
      </c>
      <c r="Y13" s="116" t="str">
        <f t="shared" si="3"/>
        <v>Public Works Service Worker 2 (PWSW2)</v>
      </c>
      <c r="Z13" s="123"/>
      <c r="AA13" s="123">
        <f t="shared" si="8"/>
        <v>33.659999999999997</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30.270598933283761</v>
      </c>
      <c r="I15" s="15">
        <f>R15</f>
        <v>31.620507765254139</v>
      </c>
      <c r="J15" s="4"/>
      <c r="K15" s="26"/>
      <c r="L15" s="26"/>
      <c r="M15" s="108"/>
      <c r="N15" s="148" t="s">
        <v>377</v>
      </c>
      <c r="O15" s="146" t="str">
        <f t="shared" si="5"/>
        <v>02526C</v>
      </c>
      <c r="P15" s="139" t="str">
        <f t="shared" si="6"/>
        <v>PWSW2 - WU Shop</v>
      </c>
      <c r="Q15" s="147">
        <f>IF($N15="Y",((VLOOKUP($O15,Data2022,Q$4,0)+Pension2020)*PercIncr2023)-Pension2023,VLOOKUP($O15,Data2022,Q$4,0)+Pension2020-Pension2023)</f>
        <v>30.270598933283761</v>
      </c>
      <c r="R15" s="147">
        <f>IF($N15="Y",((VLOOKUP($O15,Data2022,R$4,0)+Pension2020)*PercIncr2023)-Pension2023,VLOOKUP($O15,Data2022,R$4,0)+Pension2020-Pension2023)</f>
        <v>31.620507765254139</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30.174851552189818</v>
      </c>
      <c r="I19" s="15">
        <f>R19</f>
        <v>31.210777301884526</v>
      </c>
      <c r="J19" s="15">
        <f>S19</f>
        <v>32.02704621479316</v>
      </c>
      <c r="K19" s="15">
        <f>T19</f>
        <v>32.843315127701793</v>
      </c>
      <c r="L19" s="15">
        <f>U19</f>
        <v>33.659584040610426</v>
      </c>
      <c r="M19" s="2"/>
      <c r="N19" s="140" t="s">
        <v>377</v>
      </c>
      <c r="O19" s="146" t="str">
        <f>A19</f>
        <v>02624C</v>
      </c>
      <c r="P19" s="139" t="str">
        <f>D19</f>
        <v>PWSW2 Apprentice Program for  PWSW1's</v>
      </c>
      <c r="Q19" s="147">
        <f>IF($N19="Y",((VLOOKUP($O19,Data2022,Q$4,0)+Pension2020)*PercIncr2023)-Pension2023,VLOOKUP($O19,Data2022,Q$4,0)+Pension2020-Pension2023)</f>
        <v>30.174851552189818</v>
      </c>
      <c r="R19" s="147">
        <f>IF($N19="Y",((VLOOKUP($O19,Data2022,R$4,0)+Pension2020)*PercIncr2023)-Pension2023,VLOOKUP($O19,Data2022,R$4,0)+Pension2020-Pension2023)</f>
        <v>31.210777301884526</v>
      </c>
      <c r="S19" s="147">
        <f>IF($N19="Y",((VLOOKUP($O19,Data2022,S$4,0)+Pension2020)*PercIncr2023)-Pension2023,VLOOKUP($O19,Data2022,S$4,0)+Pension2020-Pension2023)</f>
        <v>32.02704621479316</v>
      </c>
      <c r="T19" s="147">
        <f>IF($N19="Y",((VLOOKUP($O19,Data2022,T$4,0)+Pension2020)*PercIncr2023)-Pension2023,VLOOKUP($O19,Data2022,T$4,0)+Pension2020-Pension2023)</f>
        <v>32.843315127701793</v>
      </c>
      <c r="U19" s="147">
        <f>IF($N19="Y",((VLOOKUP($O19,Data2022,U$4,0)+Pension2020)*PercIncr2023)-Pension2023,VLOOKUP($O19,Data2022,U$4,0)+Pension2020-Pension2023)</f>
        <v>33.659584040610426</v>
      </c>
      <c r="V19" s="2"/>
      <c r="W19" s="116" t="str">
        <f>O19</f>
        <v>02624C</v>
      </c>
      <c r="X19" s="117">
        <f>C19</f>
        <v>36</v>
      </c>
      <c r="Y19" s="116" t="str">
        <f>D19</f>
        <v>PWSW2 Apprentice Program for  PWSW1's</v>
      </c>
      <c r="Z19" s="123">
        <f>ROUND(Q19,3)</f>
        <v>30.175000000000001</v>
      </c>
      <c r="AA19" s="123">
        <f>ROUND(R19,3)</f>
        <v>31.210999999999999</v>
      </c>
      <c r="AB19" s="123">
        <f>ROUND(S19,3)</f>
        <v>32.027000000000001</v>
      </c>
      <c r="AC19" s="123">
        <f>ROUND(T19,3)</f>
        <v>32.843000000000004</v>
      </c>
      <c r="AD19" s="123">
        <f>ROUND(U19,3)</f>
        <v>33.659999999999997</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31.117813603281505</v>
      </c>
      <c r="I23" s="15">
        <f>R23</f>
        <v>31.92501260067958</v>
      </c>
      <c r="J23" s="15">
        <f>S23</f>
        <v>32.503203080656526</v>
      </c>
      <c r="K23" s="15">
        <f>T23</f>
        <v>33.081393560633479</v>
      </c>
      <c r="L23" s="15">
        <f>U23</f>
        <v>33.659584040610426</v>
      </c>
      <c r="M23" s="2"/>
      <c r="N23" s="140" t="s">
        <v>377</v>
      </c>
      <c r="O23" s="146" t="str">
        <f>A23</f>
        <v>02622C</v>
      </c>
      <c r="P23" s="139" t="str">
        <f>D23</f>
        <v>PWSW2 Apprentice Program for MCL's</v>
      </c>
      <c r="Q23" s="147">
        <f>IF($N23="Y",((VLOOKUP($O23,Data2022,Q$4,0)+Pension2020)*PercIncr2023)-Pension2023,VLOOKUP($O23,Data2022,Q$4,0)+Pension2020-Pension2023)</f>
        <v>31.117813603281505</v>
      </c>
      <c r="R23" s="147">
        <f>IF($N23="Y",((VLOOKUP($O23,Data2022,R$4,0)+Pension2020)*PercIncr2023)-Pension2023,VLOOKUP($O23,Data2022,R$4,0)+Pension2020-Pension2023)</f>
        <v>31.92501260067958</v>
      </c>
      <c r="S23" s="147">
        <f>IF($N23="Y",((VLOOKUP($O23,Data2022,S$4,0)+Pension2020)*PercIncr2023)-Pension2023,VLOOKUP($O23,Data2022,S$4,0)+Pension2020-Pension2023)</f>
        <v>32.503203080656526</v>
      </c>
      <c r="T23" s="147">
        <f>IF($N23="Y",((VLOOKUP($O23,Data2022,T$4,0)+Pension2020)*PercIncr2023)-Pension2023,VLOOKUP($O23,Data2022,T$4,0)+Pension2020-Pension2023)</f>
        <v>33.081393560633479</v>
      </c>
      <c r="U23" s="147">
        <f>IF($N23="Y",((VLOOKUP($O23,Data2022,U$4,0)+Pension2020)*PercIncr2023)-Pension2023,VLOOKUP($O23,Data2022,U$4,0)+Pension2020-Pension2023)</f>
        <v>33.659584040610426</v>
      </c>
      <c r="V23" s="2"/>
      <c r="W23" s="116" t="str">
        <f>O23</f>
        <v>02622C</v>
      </c>
      <c r="X23" s="117">
        <f>C23</f>
        <v>37</v>
      </c>
      <c r="Y23" s="116" t="str">
        <f>D23</f>
        <v>PWSW2 Apprentice Program for MCL's</v>
      </c>
      <c r="Z23" s="123">
        <f>ROUND(Q23,3)</f>
        <v>31.117999999999999</v>
      </c>
      <c r="AA23" s="123">
        <f>ROUND(R23,3)</f>
        <v>31.925000000000001</v>
      </c>
      <c r="AB23" s="123">
        <f>ROUND(S23,3)</f>
        <v>32.503</v>
      </c>
      <c r="AC23" s="123">
        <f>ROUND(T23,3)</f>
        <v>33.081000000000003</v>
      </c>
      <c r="AD23" s="123">
        <f>ROUND(U23,3)</f>
        <v>33.659999999999997</v>
      </c>
    </row>
    <row r="24" spans="1:30" s="5" customFormat="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18.974579999999992</v>
      </c>
      <c r="I26" s="15">
        <f>R26</f>
        <v>22.195060812499992</v>
      </c>
      <c r="J26" s="15">
        <f>S26</f>
        <v>28.657350124999997</v>
      </c>
      <c r="K26" s="26"/>
      <c r="L26" s="26"/>
      <c r="M26" s="108"/>
      <c r="N26" s="148" t="s">
        <v>377</v>
      </c>
      <c r="O26" s="146" t="str">
        <f>A26</f>
        <v>52919C</v>
      </c>
      <c r="P26" s="139" t="str">
        <f>D26</f>
        <v>Auto Mechanic Trainee</v>
      </c>
      <c r="Q26" s="147">
        <f>IF($N26="Y",((VLOOKUP($O26,Data2022,Q$4,0)+Pension2020)*PercIncr2023)-Pension2023,VLOOKUP($O26,Data2022,Q$4,0)+Pension2020-Pension2023)</f>
        <v>18.974579999999992</v>
      </c>
      <c r="R26" s="147">
        <f>IF($N26="Y",((VLOOKUP($O26,Data2022,R$4,0)+Pension2020)*PercIncr2023)-Pension2023,VLOOKUP($O26,Data2022,R$4,0)+Pension2020-Pension2023)</f>
        <v>22.195060812499992</v>
      </c>
      <c r="S26" s="147">
        <f>IF($N26="Y",((VLOOKUP($O26,Data2022,S$4,0)+Pension2020)*PercIncr2023)-Pension2023,VLOOKUP($O26,Data2022,S$4,0)+Pension2020-Pension2023)</f>
        <v>28.657350124999997</v>
      </c>
      <c r="T26" s="147"/>
      <c r="U26" s="147"/>
      <c r="V26" s="2"/>
      <c r="W26" s="116" t="str">
        <f>O26</f>
        <v>52919C</v>
      </c>
      <c r="X26" s="117">
        <f>C26</f>
        <v>38</v>
      </c>
      <c r="Y26" s="116" t="str">
        <f>D26</f>
        <v>Auto Mechanic Trainee</v>
      </c>
      <c r="Z26" s="123">
        <f>ROUND(Q26,3)</f>
        <v>18.975000000000001</v>
      </c>
      <c r="AA26" s="123">
        <f>ROUND(R26,3)</f>
        <v>22.195</v>
      </c>
      <c r="AB26" s="123">
        <f>ROUND(S26,3)</f>
        <v>28.657</v>
      </c>
      <c r="AC26" s="123">
        <f>ROUND(T26,3)</f>
        <v>0</v>
      </c>
      <c r="AD26" s="123">
        <f>ROUND(U26,3)</f>
        <v>0</v>
      </c>
    </row>
    <row r="27" spans="1:30" s="5" customFormat="1" x14ac:dyDescent="0.2">
      <c r="A27" s="29"/>
      <c r="B27" s="29"/>
      <c r="C27" s="4"/>
      <c r="D27" s="23"/>
      <c r="E27" s="24"/>
      <c r="F27" s="24"/>
      <c r="G27" s="25"/>
      <c r="H27" s="135"/>
      <c r="I27" s="15"/>
      <c r="J27" s="135"/>
      <c r="K27" s="96"/>
      <c r="L27" s="26"/>
      <c r="M27" s="108"/>
      <c r="N27" s="148"/>
      <c r="O27" s="148"/>
      <c r="P27" s="139"/>
      <c r="Q27" s="140"/>
      <c r="R27" s="140"/>
      <c r="S27" s="140"/>
      <c r="T27" s="140"/>
      <c r="U27" s="140"/>
      <c r="V27" s="2"/>
      <c r="W27" s="116"/>
      <c r="X27" s="117"/>
      <c r="Y27" s="116"/>
      <c r="Z27" s="117"/>
      <c r="AA27" s="117"/>
      <c r="AB27" s="116"/>
      <c r="AC27" s="136"/>
      <c r="AD27" s="136"/>
    </row>
    <row r="28" spans="1:30" s="5" customFormat="1" ht="11.25" customHeigh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IF($N29="Y",VLOOKUP($O29,Data2022,Q$4,0)*PercIncr2023,VLOOKUP($O29,Data2022,Q$4,0))</f>
        <v>1.5</v>
      </c>
      <c r="R29" s="150" t="s">
        <v>387</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$1.290 per hour for all hours on the equipment.</v>
      </c>
      <c r="B37" s="33"/>
      <c r="C37" s="33"/>
      <c r="D37" s="33"/>
      <c r="G37"/>
      <c r="H37"/>
      <c r="I37" s="33"/>
      <c r="J37" s="33"/>
      <c r="K37" s="33"/>
      <c r="M37" s="33"/>
      <c r="N37" s="140" t="s">
        <v>377</v>
      </c>
      <c r="O37" s="139" t="s">
        <v>351</v>
      </c>
      <c r="P37" s="139" t="s">
        <v>352</v>
      </c>
      <c r="Q37" s="147">
        <f>IF($N37="Y",VLOOKUP($O37,Data2022,Q$4,0)*PercIncr2023,VLOOKUP($O37,Data2022,Q$4,0))</f>
        <v>1.2903250937499995</v>
      </c>
      <c r="W37" s="116" t="str">
        <f>O37</f>
        <v>CEQEQB</v>
      </c>
      <c r="Y37" s="116" t="str">
        <f>P37</f>
        <v>TL-Equipment B-CEQ</v>
      </c>
      <c r="Z37" s="123">
        <f>Q37</f>
        <v>1.2903250937499995</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$2.111 per  hour for all hours on the equipment.</v>
      </c>
      <c r="B40" s="33"/>
      <c r="C40" s="33"/>
      <c r="D40" s="33"/>
      <c r="G40"/>
      <c r="H40"/>
      <c r="I40" s="33"/>
      <c r="J40" s="33"/>
      <c r="K40" s="33"/>
      <c r="N40" s="140" t="s">
        <v>377</v>
      </c>
      <c r="O40" s="139" t="s">
        <v>350</v>
      </c>
      <c r="P40" s="139" t="s">
        <v>349</v>
      </c>
      <c r="Q40" s="147">
        <f>IF($N40="Y",VLOOKUP($O40,Data2022,Q$4,0)*PercIncr2023,VLOOKUP($O40,Data2022,Q$4,0))</f>
        <v>2.1114410624999995</v>
      </c>
      <c r="W40" s="116" t="str">
        <f>O40</f>
        <v>CEQEQC</v>
      </c>
      <c r="Y40" s="116" t="str">
        <f>P40</f>
        <v>TL-Equipment C-CEQ</v>
      </c>
      <c r="Z40" s="123">
        <f>Q40</f>
        <v>2.1114410624999995</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$1.934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IF($N44="Y",VLOOKUP($O44,Data2022,Q$4,0)*PercIncr2023,VLOOKUP($O44,Data2022,Q$4,0))</f>
        <v>1.9344212562499994</v>
      </c>
      <c r="W44" s="116" t="str">
        <f>O44</f>
        <v>CEQSPE</v>
      </c>
      <c r="Y44" s="116" t="str">
        <f>P44</f>
        <v>TL-Special Endorsement-CEQ</v>
      </c>
      <c r="Z44" s="123">
        <f>Q44</f>
        <v>1.9344212562499994</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$0.322 per hour for attaining and</v>
      </c>
      <c r="E49" s="83"/>
      <c r="L49" s="34"/>
      <c r="N49" s="140" t="s">
        <v>377</v>
      </c>
      <c r="O49" s="151" t="s">
        <v>342</v>
      </c>
      <c r="P49" s="151" t="s">
        <v>341</v>
      </c>
      <c r="Q49" s="147">
        <f>IF($N49="Y",VLOOKUP($O49,Data2022,Q$4,0)*PercIncr2023,VLOOKUP($O49,Data2022,Q$4,0))</f>
        <v>0.3220480812499999</v>
      </c>
      <c r="R49" s="140"/>
      <c r="S49" s="140"/>
      <c r="T49" s="140"/>
      <c r="U49" s="140"/>
      <c r="W49" s="116" t="str">
        <f>O49</f>
        <v>CEQHAZ</v>
      </c>
      <c r="X49" s="117"/>
      <c r="Y49" s="116" t="str">
        <f>P49</f>
        <v>Haz-Mat Certification</v>
      </c>
      <c r="Z49" s="123">
        <f>Q49</f>
        <v>0.3220480812499999</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$2.015 per hour</v>
      </c>
      <c r="E58" s="83"/>
      <c r="F58"/>
      <c r="G58"/>
      <c r="K58" s="34"/>
      <c r="L58" s="34"/>
      <c r="N58" s="140" t="s">
        <v>377</v>
      </c>
      <c r="O58" s="151" t="s">
        <v>345</v>
      </c>
      <c r="P58" s="151" t="s">
        <v>343</v>
      </c>
      <c r="Q58" s="147">
        <f>IF($N58="Y",VLOOKUP($O58,Data2022,Q$4,0)*PercIncr2023,VLOOKUP($O58,Data2022,Q$4,0))</f>
        <v>2.0154841672761732</v>
      </c>
      <c r="R58" s="140"/>
      <c r="S58" s="140"/>
      <c r="T58" s="140"/>
      <c r="U58" s="140"/>
      <c r="W58" s="116" t="str">
        <f>O58</f>
        <v>CEQOPA</v>
      </c>
      <c r="X58" s="117"/>
      <c r="Y58" s="116" t="str">
        <f t="shared" ref="Y58:Z60" si="9">P58</f>
        <v>TL-OSHA Prot Equip A-CEQ</v>
      </c>
      <c r="Z58" s="123">
        <f t="shared" si="9"/>
        <v>2.0154841672761732</v>
      </c>
      <c r="AA58" s="117"/>
      <c r="AB58" s="125"/>
      <c r="AC58" s="125"/>
      <c r="AD58" s="125"/>
    </row>
    <row r="59" spans="1:30" s="33" customFormat="1" x14ac:dyDescent="0.2">
      <c r="A59" s="47" t="str">
        <f>"Level B (as defined by OSHA) - "&amp;TEXT(Q59,"$0.000")&amp;" per hour"</f>
        <v>Level B (as defined by OSHA) - $1.450 per hour</v>
      </c>
      <c r="E59" s="83"/>
      <c r="F59"/>
      <c r="G59"/>
      <c r="K59" s="34"/>
      <c r="L59" s="34"/>
      <c r="N59" s="140" t="s">
        <v>377</v>
      </c>
      <c r="O59" s="151" t="s">
        <v>346</v>
      </c>
      <c r="P59" s="151" t="s">
        <v>344</v>
      </c>
      <c r="Q59" s="147">
        <f>IF($N59="Y",VLOOKUP($O59,Data2022,Q$4,0)*PercIncr2023,VLOOKUP($O59,Data2022,Q$4,0))</f>
        <v>1.4497803866438277</v>
      </c>
      <c r="R59" s="140"/>
      <c r="S59" s="140"/>
      <c r="T59" s="140"/>
      <c r="U59" s="140"/>
      <c r="W59" s="116" t="str">
        <f>O59</f>
        <v>CEQOPB</v>
      </c>
      <c r="X59" s="117"/>
      <c r="Y59" s="116" t="str">
        <f t="shared" si="9"/>
        <v>TL-OSHA Prot Equip B-CEQ</v>
      </c>
      <c r="Z59" s="123">
        <f t="shared" si="9"/>
        <v>1.4497803866438277</v>
      </c>
      <c r="AA59" s="117"/>
      <c r="AB59" s="125"/>
      <c r="AC59" s="125"/>
      <c r="AD59" s="125"/>
    </row>
    <row r="60" spans="1:30" x14ac:dyDescent="0.2">
      <c r="A60" s="47" t="str">
        <f>"Level C (as defined by OSHA) - "&amp;TEXT(Q60,"$0.000")&amp;" per hour"</f>
        <v>Level C (as defined by OSHA) - $0.967 per hour</v>
      </c>
      <c r="B60" s="20"/>
      <c r="C60" s="19"/>
      <c r="D60" s="19"/>
      <c r="E60" s="80"/>
      <c r="F60"/>
      <c r="G60"/>
      <c r="H60" s="37"/>
      <c r="I60" s="37"/>
      <c r="J60" s="37"/>
      <c r="K60" s="50"/>
      <c r="N60" s="140" t="s">
        <v>377</v>
      </c>
      <c r="O60" s="139" t="s">
        <v>326</v>
      </c>
      <c r="P60" s="139" t="s">
        <v>325</v>
      </c>
      <c r="Q60" s="147">
        <f>IF($N60="Y",VLOOKUP($O60,Data2022,Q$4,0)*PercIncr2023,VLOOKUP($O60,Data2022,Q$4,0))</f>
        <v>0.96695878782505729</v>
      </c>
      <c r="W60" s="116" t="str">
        <f>O60</f>
        <v>CEQOPC</v>
      </c>
      <c r="Y60" s="116" t="str">
        <f t="shared" si="9"/>
        <v>TL-OSHA Prot Equip C-CEQ</v>
      </c>
      <c r="Z60" s="123">
        <f t="shared" si="9"/>
        <v>0.96695878782505729</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$0.811 per hour for attaining and maintaining each of the 2 Core certifications.</v>
      </c>
      <c r="C65" s="39"/>
      <c r="D65" s="19"/>
      <c r="E65" s="19"/>
      <c r="F65" s="19"/>
      <c r="G65" s="19"/>
      <c r="H65" s="37"/>
      <c r="I65" s="37"/>
      <c r="J65" s="37"/>
      <c r="N65" s="140" t="s">
        <v>377</v>
      </c>
      <c r="O65" s="139" t="s">
        <v>369</v>
      </c>
      <c r="P65" s="139" t="s">
        <v>370</v>
      </c>
      <c r="Q65" s="147">
        <f>IF($N65="Y",VLOOKUP($O65,Data2022,Q$4,0)*PercIncr2023,VLOOKUP($O65,Data2022,Q$4,0))</f>
        <v>0.81101270684799998</v>
      </c>
      <c r="W65" s="116" t="str">
        <f>O65</f>
        <v>CEQWLC</v>
      </c>
      <c r="Y65" s="116" t="str">
        <f>P65</f>
        <v>Welding Certification - Core</v>
      </c>
      <c r="Z65" s="123">
        <f>Q65</f>
        <v>0.81101270684799998</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$0.811 for attaining and maintaining each of the 2 Supplemental certifications.</v>
      </c>
      <c r="C67" s="18"/>
      <c r="D67" s="19"/>
      <c r="E67" s="19"/>
      <c r="F67" s="19"/>
      <c r="G67" s="19"/>
      <c r="I67" s="37"/>
      <c r="J67" s="37"/>
      <c r="K67" s="50"/>
      <c r="N67" s="140" t="s">
        <v>377</v>
      </c>
      <c r="O67" s="139" t="s">
        <v>365</v>
      </c>
      <c r="P67" s="139" t="s">
        <v>366</v>
      </c>
      <c r="Q67" s="147">
        <f>IF($N67="Y",VLOOKUP($O67,Data2022,Q$4,0)*PercIncr2023,VLOOKUP($O67,Data2022,Q$4,0))</f>
        <v>0.81101270684799998</v>
      </c>
      <c r="W67" s="116" t="str">
        <f>O67</f>
        <v>CEQWLS</v>
      </c>
      <c r="Y67" s="116" t="str">
        <f>P67</f>
        <v>Welding Cert - Supplemental</v>
      </c>
      <c r="Z67" s="123">
        <f>Q67</f>
        <v>0.81101270684799998</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$0.811 per hour for each certification attained and maintained</v>
      </c>
      <c r="C70" s="19"/>
      <c r="E70" s="2"/>
      <c r="F70" s="19"/>
      <c r="G70" s="19"/>
      <c r="H70" s="37"/>
      <c r="I70" s="37"/>
      <c r="J70" s="37"/>
      <c r="N70" s="140" t="s">
        <v>377</v>
      </c>
      <c r="O70" s="139" t="s">
        <v>367</v>
      </c>
      <c r="P70" s="139" t="s">
        <v>368</v>
      </c>
      <c r="Q70" s="147">
        <f>IF($N70="Y",VLOOKUP($O70,Data2022,Q$4,0)*PercIncr2023,VLOOKUP($O70,Data2022,Q$4,0))</f>
        <v>0.81101270684799998</v>
      </c>
      <c r="W70" s="116" t="str">
        <f>O70</f>
        <v>CEQWL6</v>
      </c>
      <c r="Y70" s="116" t="str">
        <f>P70</f>
        <v>Welding Cert-Supplemental 6</v>
      </c>
      <c r="Z70" s="123">
        <f>Q70</f>
        <v>0.81101270684799998</v>
      </c>
    </row>
    <row r="71" spans="1:30" x14ac:dyDescent="0.2">
      <c r="A71" s="18"/>
      <c r="B71" s="20"/>
      <c r="C71" s="19"/>
      <c r="D71" s="19"/>
      <c r="E71" s="80"/>
      <c r="F71" s="19"/>
      <c r="G71" s="19"/>
      <c r="H71" s="37"/>
      <c r="I71" s="37"/>
      <c r="J71" s="37"/>
      <c r="O71" s="139" t="s">
        <v>401</v>
      </c>
      <c r="P71" s="139" t="s">
        <v>402</v>
      </c>
      <c r="Q71" s="147">
        <f>Q70</f>
        <v>0.81101270684799998</v>
      </c>
      <c r="W71" s="116" t="str">
        <f>O71</f>
        <v>CEQWL5</v>
      </c>
      <c r="Y71" s="116" t="str">
        <f>P71</f>
        <v>Welding Cert Supplemental 5</v>
      </c>
      <c r="Z71" s="123">
        <f>Q71</f>
        <v>0.81101270684799998</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$0.811 per hour for each certification group 'A' thorough 'D' attained and maintained.</v>
      </c>
      <c r="B73" s="20"/>
      <c r="C73" s="19"/>
      <c r="D73" s="19"/>
      <c r="E73" s="80"/>
      <c r="F73" s="19"/>
      <c r="G73" s="19"/>
      <c r="H73" s="37"/>
      <c r="I73" s="37"/>
      <c r="J73" s="19"/>
      <c r="Q73" s="147"/>
      <c r="R73" s="154"/>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IF($N75="Y",VLOOKUP($O75,Data2022,Q$4,0)*PercIncr2023,VLOOKUP($O75,Data2022,Q$4,0))</f>
        <v>0.81101270684799998</v>
      </c>
      <c r="R75" s="154"/>
      <c r="W75" s="116" t="str">
        <f>O75</f>
        <v>CEQASA</v>
      </c>
      <c r="Y75" s="116" t="str">
        <f>P75</f>
        <v>ASE Certification - A</v>
      </c>
      <c r="Z75" s="123">
        <f>Q75</f>
        <v>0.81101270684799998</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$0.811/hour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$1.622/hour</v>
      </c>
      <c r="C78" s="33"/>
      <c r="D78" s="33"/>
      <c r="E78" s="83"/>
      <c r="F78" s="33"/>
      <c r="G78" s="33"/>
      <c r="H78"/>
      <c r="I78"/>
      <c r="J78"/>
      <c r="K78" s="60"/>
      <c r="N78" s="140" t="s">
        <v>377</v>
      </c>
      <c r="O78" s="139" t="s">
        <v>332</v>
      </c>
      <c r="P78" s="139" t="s">
        <v>328</v>
      </c>
      <c r="Q78" s="147">
        <f>IF($N78="Y",VLOOKUP($O78,Data2022,Q$4,0)*PercIncr2023,VLOOKUP($O78,Data2022,Q$4,0))</f>
        <v>1.622025413696</v>
      </c>
      <c r="R78" s="154"/>
      <c r="W78" s="116" t="str">
        <f>O78</f>
        <v>CEQASB</v>
      </c>
      <c r="Y78" s="116" t="str">
        <f t="shared" ref="Y78:Z80" si="10">P78</f>
        <v>ASE Certification - B</v>
      </c>
      <c r="Z78" s="123">
        <f t="shared" si="10"/>
        <v>1.622025413696</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$2.433/hour</v>
      </c>
      <c r="E79" s="83"/>
      <c r="H79"/>
      <c r="I79"/>
      <c r="J79"/>
      <c r="K79" s="34"/>
      <c r="L79" s="34"/>
      <c r="N79" s="140" t="s">
        <v>377</v>
      </c>
      <c r="O79" s="139" t="s">
        <v>333</v>
      </c>
      <c r="P79" s="139" t="s">
        <v>329</v>
      </c>
      <c r="Q79" s="147">
        <f>IF($N79="Y",VLOOKUP($O79,Data2022,Q$4,0)*PercIncr2023,VLOOKUP($O79,Data2022,Q$4,0))</f>
        <v>2.4330381205439999</v>
      </c>
      <c r="R79" s="154"/>
      <c r="S79" s="140"/>
      <c r="T79" s="140"/>
      <c r="U79" s="140"/>
      <c r="W79" s="116" t="str">
        <f>O79</f>
        <v>CEQASC</v>
      </c>
      <c r="X79" s="117"/>
      <c r="Y79" s="116" t="str">
        <f t="shared" si="10"/>
        <v>ASE Certification - C</v>
      </c>
      <c r="Z79" s="123">
        <f t="shared" si="10"/>
        <v>2.4330381205439999</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$3.244/hour</v>
      </c>
      <c r="E80" s="83"/>
      <c r="H80"/>
      <c r="I80"/>
      <c r="J80"/>
      <c r="K80" s="34"/>
      <c r="L80" s="34"/>
      <c r="N80" s="140" t="s">
        <v>377</v>
      </c>
      <c r="O80" s="139" t="s">
        <v>334</v>
      </c>
      <c r="P80" s="139" t="s">
        <v>330</v>
      </c>
      <c r="Q80" s="147">
        <f>IF($N80="Y",VLOOKUP($O80,Data2022,Q$4,0)*PercIncr2023,VLOOKUP($O80,Data2022,Q$4,0))</f>
        <v>3.2440508273919999</v>
      </c>
      <c r="R80" s="154"/>
      <c r="S80" s="140"/>
      <c r="T80" s="140"/>
      <c r="U80" s="140"/>
      <c r="W80" s="116" t="str">
        <f>O80</f>
        <v>CEQASD</v>
      </c>
      <c r="X80" s="117"/>
      <c r="Y80" s="116" t="str">
        <f t="shared" si="10"/>
        <v>ASE Certification - D</v>
      </c>
      <c r="Z80" s="123">
        <f t="shared" si="10"/>
        <v>3.2440508273919999</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t="s">
        <v>210</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$4.055/hour</v>
      </c>
      <c r="C88" s="33"/>
      <c r="D88" s="33"/>
      <c r="E88" s="83"/>
      <c r="F88" s="33"/>
      <c r="G88" s="33"/>
      <c r="H88"/>
      <c r="I88"/>
      <c r="J88"/>
      <c r="K88" s="60"/>
      <c r="M88" s="2"/>
      <c r="N88" s="140" t="s">
        <v>377</v>
      </c>
      <c r="O88" s="139" t="s">
        <v>338</v>
      </c>
      <c r="P88" s="139" t="s">
        <v>335</v>
      </c>
      <c r="Q88" s="147">
        <f>IF($N88="Y",VLOOKUP($O88,Data2022,Q$4,0)*PercIncr2023,VLOOKUP($O88,Data2022,Q$4,0))</f>
        <v>4.055459778124999</v>
      </c>
      <c r="R88" s="140"/>
      <c r="S88" s="140"/>
      <c r="T88" s="140"/>
      <c r="U88" s="140"/>
      <c r="V88" s="2"/>
      <c r="W88" s="116" t="str">
        <f>O88</f>
        <v>CEQASE</v>
      </c>
      <c r="X88" s="117"/>
      <c r="Y88" s="116" t="str">
        <f t="shared" ref="Y88:Z90" si="11">P88</f>
        <v>ASE Certification - E</v>
      </c>
      <c r="Z88" s="123">
        <f t="shared" si="11"/>
        <v>4.055459778124999</v>
      </c>
      <c r="AA88" s="117"/>
      <c r="AB88" s="116"/>
      <c r="AC88" s="136"/>
      <c r="AD88" s="136"/>
    </row>
    <row r="89" spans="1:30" s="5" customFormat="1" ht="13.5" customHeight="1" x14ac:dyDescent="0.2">
      <c r="A89" s="113" t="s">
        <v>299</v>
      </c>
      <c r="B89" s="57" t="str">
        <f>"If an employee shows proof of successfully passing any twelve (12) of the ASE tests: "&amp;TEXT(Q89,"$0.000")&amp;"/hour"</f>
        <v>If an employee shows proof of successfully passing any twelve (12) of the ASE tests: $4.866/hour</v>
      </c>
      <c r="C89" s="33"/>
      <c r="D89" s="33"/>
      <c r="E89" s="83"/>
      <c r="F89" s="33"/>
      <c r="G89" s="33"/>
      <c r="H89" s="55"/>
      <c r="I89" s="61"/>
      <c r="J89" s="2"/>
      <c r="K89" s="60"/>
      <c r="M89" s="2"/>
      <c r="N89" s="140" t="s">
        <v>377</v>
      </c>
      <c r="O89" s="139" t="s">
        <v>339</v>
      </c>
      <c r="P89" s="139" t="s">
        <v>336</v>
      </c>
      <c r="Q89" s="147">
        <f>IF($N89="Y",VLOOKUP($O89,Data2022,Q$4,0)*PercIncr2023,VLOOKUP($O89,Data2022,Q$4,0))</f>
        <v>4.8659119031249984</v>
      </c>
      <c r="R89" s="140"/>
      <c r="S89" s="140"/>
      <c r="T89" s="140"/>
      <c r="U89" s="140"/>
      <c r="V89" s="2"/>
      <c r="W89" s="116" t="str">
        <f>O89</f>
        <v>CEQASF</v>
      </c>
      <c r="X89" s="117"/>
      <c r="Y89" s="116" t="str">
        <f t="shared" si="11"/>
        <v>ASE Certification - F</v>
      </c>
      <c r="Z89" s="123">
        <f t="shared" si="11"/>
        <v>4.8659119031249984</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$5.677 /hour</v>
      </c>
      <c r="C90" s="33"/>
      <c r="D90" s="33"/>
      <c r="E90" s="83"/>
      <c r="F90" s="33"/>
      <c r="G90" s="33"/>
      <c r="H90" s="55"/>
      <c r="I90" s="61"/>
      <c r="J90" s="2"/>
      <c r="K90" s="60"/>
      <c r="M90" s="2"/>
      <c r="N90" s="140" t="s">
        <v>377</v>
      </c>
      <c r="O90" s="139" t="s">
        <v>340</v>
      </c>
      <c r="P90" s="139" t="s">
        <v>337</v>
      </c>
      <c r="Q90" s="147">
        <f>IF($N90="Y",VLOOKUP($O90,Data2022,Q$4,0)*PercIncr2023,VLOOKUP($O90,Data2022,Q$4,0))</f>
        <v>5.6774304124999979</v>
      </c>
      <c r="R90" s="140"/>
      <c r="S90" s="140"/>
      <c r="T90" s="140"/>
      <c r="U90" s="140"/>
      <c r="V90" s="2"/>
      <c r="W90" s="116" t="str">
        <f>O90</f>
        <v>CEQASG</v>
      </c>
      <c r="X90" s="117"/>
      <c r="Y90" s="116" t="str">
        <f t="shared" si="11"/>
        <v>ASE Certification - G</v>
      </c>
      <c r="Z90" s="123">
        <f t="shared" si="11"/>
        <v>5.6774304124999979</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ht="13.5" customHeigh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$1.075 per hour on all compensated</v>
      </c>
      <c r="B115" s="20"/>
      <c r="C115" s="19"/>
      <c r="D115" s="19"/>
      <c r="E115" s="80"/>
      <c r="F115" s="19"/>
      <c r="G115" s="19"/>
      <c r="H115" s="2"/>
      <c r="I115"/>
      <c r="J115"/>
      <c r="K115" s="45"/>
      <c r="L115" s="34"/>
      <c r="N115" s="140" t="s">
        <v>377</v>
      </c>
      <c r="O115" s="151" t="s">
        <v>353</v>
      </c>
      <c r="P115" s="151" t="s">
        <v>354</v>
      </c>
      <c r="Q115" s="147">
        <f>IF($N115="Y",VLOOKUP($O115,Data2022,Q$4,0)*PercIncr2023,VLOOKUP($O115,Data2022,Q$4,0))</f>
        <v>1.0749154499999996</v>
      </c>
      <c r="R115" s="140"/>
      <c r="S115" s="140"/>
      <c r="T115" s="140"/>
      <c r="U115" s="140"/>
      <c r="W115" s="116" t="str">
        <f>O115</f>
        <v>CEQOTR</v>
      </c>
      <c r="X115" s="117"/>
      <c r="Y115" s="116" t="str">
        <f>P115</f>
        <v>TL-Outside Truck Premium-CEQ</v>
      </c>
      <c r="Z115" s="123">
        <f>Q115</f>
        <v>1.0749154499999996</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$1.075 per hour for hours worked.</v>
      </c>
      <c r="B116" s="20"/>
      <c r="C116" s="19"/>
      <c r="D116" s="19"/>
      <c r="E116" s="80"/>
      <c r="F116" s="19"/>
      <c r="G116" s="19"/>
      <c r="I116"/>
      <c r="J116"/>
      <c r="Q116" s="147"/>
    </row>
    <row r="117" spans="1:30" s="33" customFormat="1" ht="6.75" customHeigh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$0.517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IF($N120="Y",VLOOKUP($O120,Data2022,Q$4,0)*PercIncr2023,VLOOKUP($O120,Data2022,Q$4,0))</f>
        <v>0.51719642187499992</v>
      </c>
      <c r="W120" s="116" t="str">
        <f>O120</f>
        <v>CEQCNF</v>
      </c>
      <c r="Y120" s="116" t="str">
        <f>P120</f>
        <v>TL-Confined Space Entry-CEQ</v>
      </c>
      <c r="Z120" s="123">
        <f>Q120</f>
        <v>0.51719642187499992</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IF($N137="Y",VLOOKUP($O137,Data2022,Q$4,0)*PercIncr2023,VLOOKUP($O137,Data2022,Q$4,0))</f>
        <v>1.5505228812499996</v>
      </c>
      <c r="W137" s="116" t="str">
        <f>O137</f>
        <v>CEQEVE</v>
      </c>
      <c r="Y137" s="116" t="str">
        <f t="shared" ref="Y137:Z139" si="12">P137</f>
        <v>TL-Evening Shift Premium-CEQ</v>
      </c>
      <c r="Z137" s="123">
        <f t="shared" si="12"/>
        <v>1.5505228812499996</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$1.551 per hour for all hours worked on the qualified shift,</v>
      </c>
      <c r="B138" s="20"/>
      <c r="C138" s="19"/>
      <c r="D138" s="19"/>
      <c r="E138" s="80"/>
      <c r="F138" s="19"/>
      <c r="G138" s="19"/>
      <c r="H138" s="37"/>
      <c r="I138" s="37"/>
      <c r="J138" s="37"/>
      <c r="N138" s="140" t="s">
        <v>377</v>
      </c>
      <c r="O138" s="139" t="s">
        <v>359</v>
      </c>
      <c r="P138" s="139" t="s">
        <v>360</v>
      </c>
      <c r="Q138" s="147">
        <f>IF($N138="Y",VLOOKUP($O138,Data2022,Q$4,0)*PercIncr2023,VLOOKUP($O138,Data2022,Q$4,0))</f>
        <v>1.5505228812499996</v>
      </c>
      <c r="W138" s="116" t="str">
        <f>O138</f>
        <v>CEQAM1</v>
      </c>
      <c r="Y138" s="116" t="str">
        <f t="shared" si="12"/>
        <v>TL-Morning Shift Premium CEQ</v>
      </c>
      <c r="Z138" s="123">
        <f t="shared" si="12"/>
        <v>1.5505228812499996</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IF($N139="Y",VLOOKUP($O139,Data2022,Q$4,0)*PercIncr2023,VLOOKUP($O139,Data2022,Q$4,0))</f>
        <v>1.5505228812499996</v>
      </c>
      <c r="W139" s="116" t="str">
        <f>O139</f>
        <v>CEQWKE</v>
      </c>
      <c r="Y139" s="116" t="str">
        <f t="shared" si="12"/>
        <v>TL-Weekend Shift-CEQ</v>
      </c>
      <c r="Z139" s="123">
        <f t="shared" si="12"/>
        <v>1.5505228812499996</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0.26659609374999993</v>
      </c>
      <c r="B145" s="57" t="s">
        <v>174</v>
      </c>
      <c r="C145" s="72"/>
      <c r="D145" s="72"/>
      <c r="E145" s="87"/>
      <c r="F145" s="73"/>
      <c r="G145" s="73"/>
      <c r="H145" s="37"/>
      <c r="I145" s="37"/>
      <c r="J145" s="55"/>
      <c r="N145" s="140" t="s">
        <v>377</v>
      </c>
      <c r="O145" s="139" t="s">
        <v>371</v>
      </c>
      <c r="Q145" s="147">
        <f>IF($N145="Y",VLOOKUP($O145,Data2022,Q$4,0)*PercIncr2023,VLOOKUP($O145,Data2022,Q$4,0))</f>
        <v>0.26659609374999993</v>
      </c>
      <c r="W145" s="116" t="str">
        <f>O145</f>
        <v>10th</v>
      </c>
      <c r="Y145" s="116">
        <f t="shared" ref="Y145:Z148" si="13">P145</f>
        <v>0</v>
      </c>
      <c r="Z145" s="123">
        <f t="shared" si="13"/>
        <v>0.26659609374999993</v>
      </c>
    </row>
    <row r="146" spans="1:30" s="5" customFormat="1" x14ac:dyDescent="0.2">
      <c r="A146" s="110">
        <f>Q146</f>
        <v>0.44894782187499988</v>
      </c>
      <c r="B146" s="57" t="s">
        <v>175</v>
      </c>
      <c r="C146" s="72"/>
      <c r="D146" s="72"/>
      <c r="E146" s="87"/>
      <c r="F146" s="73"/>
      <c r="G146" s="73"/>
      <c r="H146" s="37"/>
      <c r="I146" s="37"/>
      <c r="J146" s="55"/>
      <c r="K146" s="50"/>
      <c r="M146" s="2"/>
      <c r="N146" s="140" t="s">
        <v>377</v>
      </c>
      <c r="O146" s="139" t="s">
        <v>372</v>
      </c>
      <c r="P146" s="139"/>
      <c r="Q146" s="147">
        <f>IF($N146="Y",VLOOKUP($O146,Data2022,Q$4,0)*PercIncr2023,VLOOKUP($O146,Data2022,Q$4,0))</f>
        <v>0.44894782187499988</v>
      </c>
      <c r="R146" s="140"/>
      <c r="S146" s="140"/>
      <c r="T146" s="140"/>
      <c r="U146" s="140"/>
      <c r="V146" s="2"/>
      <c r="W146" s="116" t="str">
        <f>O146</f>
        <v>15th</v>
      </c>
      <c r="X146" s="117"/>
      <c r="Y146" s="116">
        <f t="shared" si="13"/>
        <v>0</v>
      </c>
      <c r="Z146" s="123">
        <f t="shared" si="13"/>
        <v>0.44894782187499988</v>
      </c>
      <c r="AA146" s="117"/>
      <c r="AB146" s="116"/>
      <c r="AC146" s="136"/>
      <c r="AD146" s="136"/>
    </row>
    <row r="147" spans="1:30" s="5" customFormat="1" x14ac:dyDescent="0.2">
      <c r="A147" s="110">
        <f>Q147</f>
        <v>0.53105941874999996</v>
      </c>
      <c r="B147" s="57" t="s">
        <v>176</v>
      </c>
      <c r="C147" s="72"/>
      <c r="D147" s="72"/>
      <c r="E147" s="87"/>
      <c r="F147" s="73"/>
      <c r="G147" s="73"/>
      <c r="H147" s="37"/>
      <c r="I147" s="37"/>
      <c r="J147" s="55"/>
      <c r="K147" s="50"/>
      <c r="M147" s="2"/>
      <c r="N147" s="140" t="s">
        <v>377</v>
      </c>
      <c r="O147" s="139" t="s">
        <v>373</v>
      </c>
      <c r="P147" s="139"/>
      <c r="Q147" s="147">
        <f>IF($N147="Y",VLOOKUP($O147,Data2022,Q$4,0)*PercIncr2023,VLOOKUP($O147,Data2022,Q$4,0))</f>
        <v>0.53105941874999996</v>
      </c>
      <c r="R147" s="140"/>
      <c r="S147" s="140"/>
      <c r="T147" s="140"/>
      <c r="U147" s="140"/>
      <c r="V147" s="2"/>
      <c r="W147" s="116" t="str">
        <f>O147</f>
        <v>20th</v>
      </c>
      <c r="X147" s="117"/>
      <c r="Y147" s="116">
        <f t="shared" si="13"/>
        <v>0</v>
      </c>
      <c r="Z147" s="123">
        <f t="shared" si="13"/>
        <v>0.53105941874999996</v>
      </c>
      <c r="AA147" s="117"/>
      <c r="AB147" s="116"/>
      <c r="AC147" s="136"/>
      <c r="AD147" s="136"/>
    </row>
    <row r="148" spans="1:30" s="5" customFormat="1" x14ac:dyDescent="0.2">
      <c r="A148" s="110">
        <f>Q148</f>
        <v>0.76353121249999978</v>
      </c>
      <c r="B148" s="57" t="s">
        <v>177</v>
      </c>
      <c r="C148" s="72"/>
      <c r="D148" s="72"/>
      <c r="E148" s="87"/>
      <c r="F148" s="73"/>
      <c r="G148" s="73"/>
      <c r="H148" s="37"/>
      <c r="I148" s="37"/>
      <c r="J148" s="55"/>
      <c r="K148" s="50"/>
      <c r="M148" s="2"/>
      <c r="N148" s="140" t="s">
        <v>377</v>
      </c>
      <c r="O148" s="139" t="s">
        <v>374</v>
      </c>
      <c r="P148" s="139"/>
      <c r="Q148" s="147">
        <f>IF($N148="Y",VLOOKUP($O148,Data2022,Q$4,0)*PercIncr2023,VLOOKUP($O148,Data2022,Q$4,0))</f>
        <v>0.76353121249999978</v>
      </c>
      <c r="R148" s="140"/>
      <c r="S148" s="140"/>
      <c r="T148" s="140"/>
      <c r="U148" s="140"/>
      <c r="V148" s="2"/>
      <c r="W148" s="116" t="str">
        <f>O148</f>
        <v>25th</v>
      </c>
      <c r="X148" s="117"/>
      <c r="Y148" s="116">
        <f t="shared" si="13"/>
        <v>0</v>
      </c>
      <c r="Z148" s="123">
        <f t="shared" si="13"/>
        <v>0.76353121249999978</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$3.402 per hour for all hours shall be paid.</v>
      </c>
      <c r="B152" s="2"/>
      <c r="C152" s="2"/>
      <c r="D152" s="2"/>
      <c r="E152" s="77"/>
      <c r="F152" s="2"/>
      <c r="G152" s="2"/>
      <c r="H152" s="2"/>
      <c r="I152" s="2"/>
      <c r="J152" s="2"/>
      <c r="M152" s="2"/>
      <c r="N152" s="140" t="s">
        <v>377</v>
      </c>
      <c r="O152" s="139" t="s">
        <v>363</v>
      </c>
      <c r="P152" s="139" t="s">
        <v>364</v>
      </c>
      <c r="Q152" s="147">
        <f>IF($N152="Y",VLOOKUP($O152,Data2022,Q$4,0)*PercIncr2023,VLOOKUP($O152,Data2022,Q$4,0))</f>
        <v>3.401766156249999</v>
      </c>
      <c r="R152" s="140"/>
      <c r="S152" s="140"/>
      <c r="T152" s="140"/>
      <c r="U152" s="140"/>
      <c r="V152" s="2"/>
      <c r="W152" s="116" t="str">
        <f>O152</f>
        <v>CEQTPP</v>
      </c>
      <c r="X152" s="117"/>
      <c r="Y152" s="116" t="str">
        <f>P152</f>
        <v>TL-Training Premium Pay-CEQ</v>
      </c>
      <c r="Z152" s="123">
        <f>Q152</f>
        <v>3.401766156249999</v>
      </c>
      <c r="AA152" s="117"/>
      <c r="AB152" s="116"/>
      <c r="AC152" s="136"/>
      <c r="AD152" s="136"/>
    </row>
    <row r="153" spans="1:30" s="5" customFormat="1" x14ac:dyDescent="0.2">
      <c r="A153" s="74"/>
      <c r="B153" s="2"/>
      <c r="C153" s="2"/>
      <c r="D153" s="2"/>
      <c r="E153" s="77"/>
      <c r="F153" s="2"/>
      <c r="G153" s="2"/>
      <c r="H153" s="2"/>
      <c r="I153" s="2"/>
      <c r="J153" s="2"/>
      <c r="M153" s="2"/>
      <c r="N153" s="140"/>
      <c r="O153" s="139"/>
      <c r="P153" s="139"/>
      <c r="Q153" s="147"/>
      <c r="R153" s="140"/>
      <c r="S153" s="140"/>
      <c r="T153" s="140"/>
      <c r="U153" s="140"/>
      <c r="V153" s="2"/>
      <c r="W153" s="116"/>
      <c r="X153" s="117"/>
      <c r="Y153" s="116"/>
      <c r="Z153" s="117"/>
      <c r="AA153" s="117"/>
      <c r="AB153" s="116"/>
      <c r="AC153" s="136"/>
      <c r="AD153" s="136"/>
    </row>
    <row r="154" spans="1:30" x14ac:dyDescent="0.2">
      <c r="A154" s="70" t="s">
        <v>199</v>
      </c>
    </row>
  </sheetData>
  <sheetProtection sheet="1" objects="1" scenarios="1"/>
  <pageMargins left="0.25" right="0.25" top="0.75" bottom="0.75" header="0.3" footer="0.3"/>
  <pageSetup scale="7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5329-ABC0-407E-81A5-795ADF0BE10A}">
  <sheetPr>
    <pageSetUpPr fitToPage="1"/>
  </sheetPr>
  <dimension ref="A1:AD165"/>
  <sheetViews>
    <sheetView showGridLines="0" zoomScale="110" zoomScaleNormal="110" workbookViewId="0"/>
  </sheetViews>
  <sheetFormatPr defaultColWidth="9.140625" defaultRowHeight="12.75" x14ac:dyDescent="0.2"/>
  <cols>
    <col min="1" max="1" width="10.140625" style="190" customWidth="1"/>
    <col min="2" max="2" width="7.85546875" style="190" customWidth="1"/>
    <col min="3" max="3" width="7.5703125" style="190" customWidth="1"/>
    <col min="4" max="4" width="37.85546875" style="190" customWidth="1"/>
    <col min="5" max="5" width="4" style="195" bestFit="1" customWidth="1"/>
    <col min="6" max="6" width="7" style="190" bestFit="1" customWidth="1"/>
    <col min="7" max="7" width="4.85546875" style="190" bestFit="1" customWidth="1"/>
    <col min="8" max="8" width="18.140625" style="190" bestFit="1" customWidth="1"/>
    <col min="9" max="9" width="10.85546875" style="190" bestFit="1" customWidth="1"/>
    <col min="10" max="10" width="10.140625" style="190" bestFit="1" customWidth="1"/>
    <col min="11" max="11" width="10.140625" style="197" bestFit="1" customWidth="1"/>
    <col min="12" max="12" width="12.7109375" style="197" customWidth="1"/>
    <col min="13" max="13" width="50.5703125" style="190" customWidth="1"/>
    <col min="14" max="14" width="11.5703125" style="140" hidden="1" customWidth="1"/>
    <col min="15" max="15" width="8.7109375" style="139" hidden="1" customWidth="1"/>
    <col min="16" max="16" width="35.28515625" style="139" hidden="1" customWidth="1"/>
    <col min="17" max="17" width="7.42578125" style="140" hidden="1" customWidth="1"/>
    <col min="18" max="18" width="11.28515625" style="140" hidden="1" customWidth="1"/>
    <col min="19" max="21" width="7.42578125" style="140" hidden="1" customWidth="1"/>
    <col min="22" max="22" width="0" style="190" hidden="1" customWidth="1"/>
    <col min="23" max="23" width="9.140625" style="116" hidden="1" customWidth="1"/>
    <col min="24" max="24" width="11.7109375" style="117" hidden="1" customWidth="1"/>
    <col min="25" max="25" width="35.28515625" style="116" hidden="1" customWidth="1"/>
    <col min="26" max="26" width="8.7109375" style="117" hidden="1" customWidth="1"/>
    <col min="27" max="27" width="11.28515625" style="117" hidden="1" customWidth="1"/>
    <col min="28" max="30" width="7.42578125" style="116" hidden="1" customWidth="1"/>
    <col min="31" max="16384" width="9.140625" style="190"/>
  </cols>
  <sheetData>
    <row r="1" spans="1:30" x14ac:dyDescent="0.2">
      <c r="A1" s="190" t="s">
        <v>452</v>
      </c>
    </row>
    <row r="2" spans="1:30" x14ac:dyDescent="0.2">
      <c r="A2" s="202" t="s">
        <v>0</v>
      </c>
      <c r="I2" s="203"/>
      <c r="J2" s="203"/>
      <c r="N2" s="137" t="s">
        <v>405</v>
      </c>
      <c r="O2" s="138">
        <v>1.0449999999999999</v>
      </c>
    </row>
    <row r="3" spans="1:30" x14ac:dyDescent="0.2">
      <c r="A3" s="190" t="s">
        <v>451</v>
      </c>
      <c r="I3" s="203"/>
      <c r="J3" s="203"/>
      <c r="K3" s="204"/>
    </row>
    <row r="4" spans="1:30" x14ac:dyDescent="0.2">
      <c r="A4" s="205" t="s">
        <v>437</v>
      </c>
      <c r="I4" s="203"/>
      <c r="J4" s="203"/>
      <c r="K4" s="204"/>
    </row>
    <row r="5" spans="1:30" x14ac:dyDescent="0.2">
      <c r="A5" s="190" t="s">
        <v>478</v>
      </c>
      <c r="I5" s="203"/>
      <c r="J5" s="203"/>
      <c r="K5" s="204"/>
    </row>
    <row r="6" spans="1:30" x14ac:dyDescent="0.2">
      <c r="A6" s="202"/>
      <c r="I6" s="203"/>
      <c r="J6" s="203"/>
      <c r="Q6" s="140">
        <v>3</v>
      </c>
      <c r="R6" s="140">
        <f>Q6+1</f>
        <v>4</v>
      </c>
      <c r="S6" s="140">
        <f>R6+1</f>
        <v>5</v>
      </c>
      <c r="T6" s="140">
        <f>S6+1</f>
        <v>6</v>
      </c>
      <c r="U6" s="140">
        <f>T6+1</f>
        <v>7</v>
      </c>
    </row>
    <row r="7" spans="1:30" ht="25.5" x14ac:dyDescent="0.2">
      <c r="A7" s="206" t="s">
        <v>280</v>
      </c>
      <c r="B7" s="206" t="s">
        <v>279</v>
      </c>
      <c r="C7" s="206" t="s">
        <v>281</v>
      </c>
      <c r="D7" s="207" t="s">
        <v>5</v>
      </c>
      <c r="E7" s="207" t="s">
        <v>6</v>
      </c>
      <c r="F7" s="206" t="s">
        <v>277</v>
      </c>
      <c r="G7" s="206" t="s">
        <v>278</v>
      </c>
      <c r="H7" s="208" t="s">
        <v>10</v>
      </c>
      <c r="I7" s="209" t="s">
        <v>186</v>
      </c>
      <c r="J7" s="209" t="s">
        <v>187</v>
      </c>
      <c r="K7" s="206" t="s">
        <v>188</v>
      </c>
      <c r="L7" s="210"/>
      <c r="M7" s="211"/>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203" t="s">
        <v>12</v>
      </c>
      <c r="B8" s="203" t="s">
        <v>184</v>
      </c>
      <c r="C8" s="203">
        <v>21</v>
      </c>
      <c r="D8" s="212" t="s">
        <v>13</v>
      </c>
      <c r="E8" s="203">
        <v>303</v>
      </c>
      <c r="F8" s="203">
        <v>6</v>
      </c>
      <c r="G8" s="203" t="s">
        <v>14</v>
      </c>
      <c r="H8" s="213">
        <f>Q8</f>
        <v>38.287862984422297</v>
      </c>
      <c r="I8" s="213">
        <f>R8</f>
        <v>39.436498873954967</v>
      </c>
      <c r="J8" s="213">
        <f>S8</f>
        <v>40.619593840173614</v>
      </c>
      <c r="K8" s="213">
        <f>T8</f>
        <v>41.838181655378825</v>
      </c>
      <c r="L8" s="214"/>
      <c r="M8" s="214"/>
      <c r="N8" s="146" t="s">
        <v>377</v>
      </c>
      <c r="O8" s="146" t="str">
        <f>A8</f>
        <v>01180C</v>
      </c>
      <c r="P8" s="167" t="str">
        <f>D8</f>
        <v>Automotive Mechanic</v>
      </c>
      <c r="Q8" s="168">
        <f t="shared" ref="Q8:Q13" si="0">IF($N8="Y",((VLOOKUP($O8,Data2023,R$6,0)+Pension2023+3.24)*PercIncr2024),(VLOOKUP($O8,Data2023,R$6,0)+Pension2023))</f>
        <v>38.287862984422297</v>
      </c>
      <c r="R8" s="168">
        <f t="shared" ref="R8:T13" si="1">Q8*1.03</f>
        <v>39.436498873954967</v>
      </c>
      <c r="S8" s="168">
        <f t="shared" si="1"/>
        <v>40.619593840173614</v>
      </c>
      <c r="T8" s="168">
        <f t="shared" si="1"/>
        <v>41.838181655378825</v>
      </c>
      <c r="W8" s="116" t="str">
        <f t="shared" ref="W8:W14" si="2">O8</f>
        <v>01180C</v>
      </c>
      <c r="X8" s="117">
        <f t="shared" ref="X8:Y14" si="3">C8</f>
        <v>21</v>
      </c>
      <c r="Y8" s="116" t="str">
        <f t="shared" si="3"/>
        <v>Automotive Mechanic</v>
      </c>
      <c r="Z8" s="123">
        <f>Q8</f>
        <v>38.287862984422297</v>
      </c>
      <c r="AA8" s="123">
        <f t="shared" ref="AA8:AC14" si="4">R8</f>
        <v>39.436498873954967</v>
      </c>
      <c r="AB8" s="123">
        <f t="shared" si="4"/>
        <v>40.619593840173614</v>
      </c>
      <c r="AC8" s="123">
        <f t="shared" si="4"/>
        <v>41.838181655378825</v>
      </c>
    </row>
    <row r="9" spans="1:30" x14ac:dyDescent="0.2">
      <c r="A9" s="203" t="s">
        <v>249</v>
      </c>
      <c r="B9" s="203" t="s">
        <v>184</v>
      </c>
      <c r="C9" s="215" t="s">
        <v>194</v>
      </c>
      <c r="D9" s="190" t="s">
        <v>248</v>
      </c>
      <c r="E9" s="203">
        <v>328</v>
      </c>
      <c r="F9" s="203">
        <v>7</v>
      </c>
      <c r="G9" s="203" t="s">
        <v>14</v>
      </c>
      <c r="H9" s="213">
        <f t="shared" ref="H9:K14" si="5">Q9</f>
        <v>42.587456778145416</v>
      </c>
      <c r="I9" s="213">
        <f t="shared" si="5"/>
        <v>43.865080481489777</v>
      </c>
      <c r="J9" s="213">
        <f t="shared" si="5"/>
        <v>45.181032895934472</v>
      </c>
      <c r="K9" s="213">
        <f t="shared" si="5"/>
        <v>46.536463882812505</v>
      </c>
      <c r="L9" s="214"/>
      <c r="M9" s="214"/>
      <c r="N9" s="146" t="s">
        <v>377</v>
      </c>
      <c r="O9" s="146" t="str">
        <f t="shared" ref="O9:O14" si="6">A9</f>
        <v xml:space="preserve">52930C </v>
      </c>
      <c r="P9" s="167" t="str">
        <f t="shared" ref="P9:P14" si="7">D9</f>
        <v>Fleet Equipment Repair Coordinator</v>
      </c>
      <c r="Q9" s="168">
        <v>42.587456778145416</v>
      </c>
      <c r="R9" s="168">
        <v>43.865080481489777</v>
      </c>
      <c r="S9" s="168">
        <v>45.181032895934472</v>
      </c>
      <c r="T9" s="168">
        <v>46.536463882812505</v>
      </c>
      <c r="W9" s="116" t="str">
        <f t="shared" si="2"/>
        <v xml:space="preserve">52930C </v>
      </c>
      <c r="X9" s="117" t="str">
        <f t="shared" si="3"/>
        <v>12</v>
      </c>
      <c r="Y9" s="116" t="str">
        <f t="shared" si="3"/>
        <v>Fleet Equipment Repair Coordinator</v>
      </c>
      <c r="Z9" s="123">
        <f t="shared" ref="Z9:Z14" si="8">Q9</f>
        <v>42.587456778145416</v>
      </c>
      <c r="AA9" s="123">
        <f t="shared" si="4"/>
        <v>43.865080481489777</v>
      </c>
      <c r="AB9" s="123">
        <f t="shared" si="4"/>
        <v>45.181032895934472</v>
      </c>
      <c r="AC9" s="123">
        <f t="shared" si="4"/>
        <v>46.536463882812505</v>
      </c>
    </row>
    <row r="10" spans="1:30" x14ac:dyDescent="0.2">
      <c r="A10" s="203" t="s">
        <v>17</v>
      </c>
      <c r="B10" s="203" t="s">
        <v>184</v>
      </c>
      <c r="C10" s="215" t="s">
        <v>194</v>
      </c>
      <c r="D10" s="190" t="s">
        <v>18</v>
      </c>
      <c r="E10" s="203">
        <v>335</v>
      </c>
      <c r="F10" s="203">
        <v>7</v>
      </c>
      <c r="G10" s="203" t="s">
        <v>14</v>
      </c>
      <c r="H10" s="213">
        <f t="shared" si="5"/>
        <v>42.587456778145416</v>
      </c>
      <c r="I10" s="213">
        <f t="shared" si="5"/>
        <v>43.865080481489777</v>
      </c>
      <c r="J10" s="213">
        <f t="shared" si="5"/>
        <v>45.181032895934472</v>
      </c>
      <c r="K10" s="213">
        <f t="shared" si="5"/>
        <v>46.536463882812505</v>
      </c>
      <c r="L10" s="214"/>
      <c r="M10" s="214"/>
      <c r="N10" s="146" t="s">
        <v>377</v>
      </c>
      <c r="O10" s="146" t="str">
        <f t="shared" si="6"/>
        <v>04520C</v>
      </c>
      <c r="P10" s="167" t="str">
        <f t="shared" si="7"/>
        <v>Foreman Auto Mechanic</v>
      </c>
      <c r="Q10" s="168">
        <f t="shared" si="0"/>
        <v>42.587456778145416</v>
      </c>
      <c r="R10" s="168">
        <f t="shared" si="1"/>
        <v>43.865080481489777</v>
      </c>
      <c r="S10" s="168">
        <f t="shared" si="1"/>
        <v>45.181032895934472</v>
      </c>
      <c r="T10" s="168">
        <f t="shared" si="1"/>
        <v>46.536463882812505</v>
      </c>
      <c r="W10" s="116" t="str">
        <f t="shared" si="2"/>
        <v>04520C</v>
      </c>
      <c r="X10" s="117" t="str">
        <f t="shared" si="3"/>
        <v>12</v>
      </c>
      <c r="Y10" s="116" t="str">
        <f t="shared" si="3"/>
        <v>Foreman Auto Mechanic</v>
      </c>
      <c r="Z10" s="123">
        <f t="shared" si="8"/>
        <v>42.587456778145416</v>
      </c>
      <c r="AA10" s="123">
        <f t="shared" si="4"/>
        <v>43.865080481489777</v>
      </c>
      <c r="AB10" s="123">
        <f t="shared" si="4"/>
        <v>45.181032895934472</v>
      </c>
      <c r="AC10" s="123">
        <f t="shared" si="4"/>
        <v>46.536463882812505</v>
      </c>
    </row>
    <row r="11" spans="1:30" x14ac:dyDescent="0.2">
      <c r="A11" s="203" t="s">
        <v>21</v>
      </c>
      <c r="B11" s="203" t="s">
        <v>184</v>
      </c>
      <c r="C11" s="215" t="s">
        <v>193</v>
      </c>
      <c r="D11" s="212" t="s">
        <v>22</v>
      </c>
      <c r="E11" s="203">
        <v>295</v>
      </c>
      <c r="F11" s="203">
        <v>6</v>
      </c>
      <c r="G11" s="203" t="s">
        <v>14</v>
      </c>
      <c r="H11" s="213">
        <f t="shared" si="5"/>
        <v>37.956295563338955</v>
      </c>
      <c r="I11" s="213">
        <f t="shared" si="5"/>
        <v>39.094984430239123</v>
      </c>
      <c r="J11" s="213">
        <f t="shared" si="5"/>
        <v>40.267833963146295</v>
      </c>
      <c r="K11" s="213">
        <f t="shared" si="5"/>
        <v>41.475868982040687</v>
      </c>
      <c r="L11" s="214"/>
      <c r="M11" s="214"/>
      <c r="N11" s="146" t="s">
        <v>377</v>
      </c>
      <c r="O11" s="146" t="str">
        <f t="shared" si="6"/>
        <v>07115C</v>
      </c>
      <c r="P11" s="169" t="str">
        <f t="shared" si="7"/>
        <v>Metal Fabrication &amp; Welding Specialist</v>
      </c>
      <c r="Q11" s="170">
        <f t="shared" si="0"/>
        <v>37.956295563338955</v>
      </c>
      <c r="R11" s="170">
        <f t="shared" si="1"/>
        <v>39.094984430239123</v>
      </c>
      <c r="S11" s="170">
        <f t="shared" si="1"/>
        <v>40.267833963146295</v>
      </c>
      <c r="T11" s="170">
        <f t="shared" si="1"/>
        <v>41.475868982040687</v>
      </c>
      <c r="W11" s="116" t="str">
        <f t="shared" si="2"/>
        <v>07115C</v>
      </c>
      <c r="X11" s="117" t="str">
        <f t="shared" si="3"/>
        <v>07</v>
      </c>
      <c r="Y11" s="116" t="str">
        <f t="shared" si="3"/>
        <v>Metal Fabrication &amp; Welding Specialist</v>
      </c>
      <c r="Z11" s="123">
        <f t="shared" si="8"/>
        <v>37.956295563338955</v>
      </c>
      <c r="AA11" s="123">
        <f t="shared" si="4"/>
        <v>39.094984430239123</v>
      </c>
      <c r="AB11" s="123">
        <f t="shared" si="4"/>
        <v>40.267833963146295</v>
      </c>
      <c r="AC11" s="123">
        <f t="shared" si="4"/>
        <v>41.475868982040687</v>
      </c>
    </row>
    <row r="12" spans="1:30" x14ac:dyDescent="0.2">
      <c r="A12" s="203" t="s">
        <v>255</v>
      </c>
      <c r="B12" s="203" t="s">
        <v>184</v>
      </c>
      <c r="C12" s="215" t="s">
        <v>194</v>
      </c>
      <c r="D12" s="212" t="s">
        <v>251</v>
      </c>
      <c r="E12" s="203">
        <v>328</v>
      </c>
      <c r="F12" s="203">
        <v>7</v>
      </c>
      <c r="G12" s="203" t="s">
        <v>14</v>
      </c>
      <c r="H12" s="213">
        <f t="shared" si="5"/>
        <v>42.587456778145416</v>
      </c>
      <c r="I12" s="213">
        <f t="shared" si="5"/>
        <v>43.865080481489777</v>
      </c>
      <c r="J12" s="213">
        <f t="shared" si="5"/>
        <v>45.181032895934472</v>
      </c>
      <c r="K12" s="213">
        <f t="shared" si="5"/>
        <v>46.536463882812505</v>
      </c>
      <c r="L12" s="214"/>
      <c r="M12" s="214"/>
      <c r="N12" s="146" t="s">
        <v>377</v>
      </c>
      <c r="O12" s="146" t="str">
        <f t="shared" si="6"/>
        <v>52973C</v>
      </c>
      <c r="P12" s="167" t="str">
        <f t="shared" si="7"/>
        <v>Sanitation Equipment Repair Coordinator</v>
      </c>
      <c r="Q12" s="168">
        <f t="shared" si="0"/>
        <v>42.587456778145416</v>
      </c>
      <c r="R12" s="168">
        <f>Q12*1.03</f>
        <v>43.865080481489777</v>
      </c>
      <c r="S12" s="168">
        <f>R12*1.03</f>
        <v>45.181032895934472</v>
      </c>
      <c r="T12" s="168">
        <f>S12*1.03</f>
        <v>46.536463882812505</v>
      </c>
      <c r="W12" s="116" t="str">
        <f t="shared" si="2"/>
        <v>52973C</v>
      </c>
      <c r="X12" s="117" t="str">
        <f t="shared" si="3"/>
        <v>12</v>
      </c>
      <c r="Y12" s="116" t="str">
        <f t="shared" si="3"/>
        <v>Sanitation Equipment Repair Coordinator</v>
      </c>
      <c r="Z12" s="123">
        <f t="shared" si="8"/>
        <v>42.587456778145416</v>
      </c>
      <c r="AA12" s="123">
        <f t="shared" si="4"/>
        <v>43.865080481489777</v>
      </c>
      <c r="AB12" s="123">
        <f t="shared" si="4"/>
        <v>45.181032895934472</v>
      </c>
      <c r="AC12" s="123">
        <f t="shared" si="4"/>
        <v>46.536463882812505</v>
      </c>
    </row>
    <row r="13" spans="1:30" x14ac:dyDescent="0.2">
      <c r="A13" s="203" t="s">
        <v>23</v>
      </c>
      <c r="B13" s="203" t="s">
        <v>184</v>
      </c>
      <c r="C13" s="215" t="s">
        <v>192</v>
      </c>
      <c r="D13" s="190" t="s">
        <v>214</v>
      </c>
      <c r="E13" s="203">
        <v>295</v>
      </c>
      <c r="F13" s="203">
        <v>6</v>
      </c>
      <c r="G13" s="203" t="s">
        <v>14</v>
      </c>
      <c r="H13" s="213">
        <f t="shared" si="5"/>
        <v>38.287862984422297</v>
      </c>
      <c r="I13" s="213">
        <f t="shared" si="5"/>
        <v>39.436498873954967</v>
      </c>
      <c r="J13" s="213">
        <f t="shared" si="5"/>
        <v>40.619593840173614</v>
      </c>
      <c r="K13" s="213">
        <f t="shared" si="5"/>
        <v>41.838181655378825</v>
      </c>
      <c r="L13" s="214"/>
      <c r="M13" s="214"/>
      <c r="N13" s="146" t="s">
        <v>377</v>
      </c>
      <c r="O13" s="146" t="str">
        <f t="shared" si="6"/>
        <v>10960C</v>
      </c>
      <c r="P13" s="169" t="str">
        <f t="shared" si="7"/>
        <v>Welder, Shop</v>
      </c>
      <c r="Q13" s="170">
        <f t="shared" si="0"/>
        <v>38.287862984422297</v>
      </c>
      <c r="R13" s="170">
        <f t="shared" si="1"/>
        <v>39.436498873954967</v>
      </c>
      <c r="S13" s="170">
        <f t="shared" si="1"/>
        <v>40.619593840173614</v>
      </c>
      <c r="T13" s="170">
        <f t="shared" si="1"/>
        <v>41.838181655378825</v>
      </c>
      <c r="W13" s="116" t="str">
        <f t="shared" si="2"/>
        <v>10960C</v>
      </c>
      <c r="X13" s="117" t="str">
        <f t="shared" si="3"/>
        <v>05</v>
      </c>
      <c r="Y13" s="116" t="str">
        <f t="shared" si="3"/>
        <v>Welder, Shop</v>
      </c>
      <c r="Z13" s="123">
        <f t="shared" si="8"/>
        <v>38.287862984422297</v>
      </c>
      <c r="AA13" s="123">
        <f t="shared" si="4"/>
        <v>39.436498873954967</v>
      </c>
      <c r="AB13" s="123">
        <f t="shared" si="4"/>
        <v>40.619593840173614</v>
      </c>
      <c r="AC13" s="123">
        <f t="shared" si="4"/>
        <v>41.838181655378825</v>
      </c>
    </row>
    <row r="14" spans="1:30" x14ac:dyDescent="0.2">
      <c r="A14" s="203" t="s">
        <v>25</v>
      </c>
      <c r="B14" s="203" t="s">
        <v>184</v>
      </c>
      <c r="C14" s="215" t="s">
        <v>195</v>
      </c>
      <c r="D14" s="190" t="s">
        <v>283</v>
      </c>
      <c r="E14" s="203">
        <v>285</v>
      </c>
      <c r="F14" s="203">
        <v>6</v>
      </c>
      <c r="G14" s="203" t="s">
        <v>14</v>
      </c>
      <c r="H14" s="213">
        <f t="shared" si="5"/>
        <v>36.741765322437892</v>
      </c>
      <c r="I14" s="213">
        <f t="shared" si="5"/>
        <v>37.84401828211103</v>
      </c>
      <c r="J14" s="216">
        <f t="shared" si="5"/>
        <v>0</v>
      </c>
      <c r="K14" s="216">
        <f t="shared" si="5"/>
        <v>0</v>
      </c>
      <c r="L14" s="214"/>
      <c r="M14" s="214"/>
      <c r="N14" s="146" t="s">
        <v>377</v>
      </c>
      <c r="O14" s="146" t="str">
        <f t="shared" si="6"/>
        <v>08569C</v>
      </c>
      <c r="P14" s="166" t="str">
        <f t="shared" si="7"/>
        <v>Public Works Service Worker 2 (PWSW2)</v>
      </c>
      <c r="Q14" s="171">
        <v>36.741765322437892</v>
      </c>
      <c r="R14" s="171">
        <f>Q14*1.03</f>
        <v>37.84401828211103</v>
      </c>
      <c r="S14" s="171"/>
      <c r="T14" s="171"/>
      <c r="W14" s="116" t="str">
        <f t="shared" si="2"/>
        <v>08569C</v>
      </c>
      <c r="X14" s="117" t="str">
        <f t="shared" si="3"/>
        <v>20</v>
      </c>
      <c r="Y14" s="116" t="str">
        <f t="shared" si="3"/>
        <v>Public Works Service Worker 2 (PWSW2)</v>
      </c>
      <c r="Z14" s="123">
        <f t="shared" si="8"/>
        <v>36.741765322437892</v>
      </c>
      <c r="AA14" s="123">
        <f t="shared" si="4"/>
        <v>37.84401828211103</v>
      </c>
      <c r="AB14" s="123"/>
      <c r="AC14" s="123"/>
    </row>
    <row r="15" spans="1:30" s="197" customFormat="1" x14ac:dyDescent="0.2">
      <c r="A15" s="203"/>
      <c r="B15" s="203"/>
      <c r="C15" s="203"/>
      <c r="D15" s="217" t="s">
        <v>39</v>
      </c>
      <c r="E15" s="175"/>
      <c r="F15" s="175"/>
      <c r="G15" s="178"/>
      <c r="H15" s="203"/>
      <c r="I15" s="213"/>
      <c r="J15" s="203"/>
      <c r="K15" s="218"/>
      <c r="L15" s="218"/>
      <c r="M15" s="214"/>
      <c r="N15" s="146"/>
      <c r="O15" s="146"/>
      <c r="P15" s="139"/>
      <c r="Q15" s="147"/>
      <c r="R15" s="162"/>
      <c r="S15" s="140"/>
      <c r="T15" s="140"/>
      <c r="U15" s="140"/>
      <c r="V15" s="190"/>
      <c r="W15" s="116"/>
      <c r="X15" s="117"/>
      <c r="Y15" s="116"/>
      <c r="Z15" s="117"/>
      <c r="AA15" s="117"/>
      <c r="AB15" s="116"/>
      <c r="AC15" s="136"/>
      <c r="AD15" s="136"/>
    </row>
    <row r="16" spans="1:30" x14ac:dyDescent="0.2">
      <c r="A16" s="203"/>
      <c r="B16" s="203"/>
      <c r="C16" s="215"/>
      <c r="E16" s="203"/>
      <c r="F16" s="203"/>
      <c r="G16" s="203"/>
      <c r="H16" s="203"/>
      <c r="I16" s="213"/>
      <c r="J16" s="203"/>
      <c r="K16" s="219"/>
      <c r="L16" s="214"/>
      <c r="M16" s="214"/>
      <c r="N16" s="146"/>
      <c r="O16" s="146"/>
      <c r="Q16" s="147"/>
      <c r="R16" s="147"/>
      <c r="S16" s="147"/>
      <c r="T16" s="147"/>
    </row>
    <row r="17" spans="1:30" x14ac:dyDescent="0.2">
      <c r="A17" s="203"/>
      <c r="B17" s="203"/>
      <c r="C17" s="215"/>
      <c r="E17" s="203"/>
      <c r="F17" s="203"/>
      <c r="G17" s="203"/>
      <c r="H17" s="220" t="s">
        <v>10</v>
      </c>
      <c r="I17" s="220" t="s">
        <v>186</v>
      </c>
      <c r="J17" s="220" t="s">
        <v>187</v>
      </c>
      <c r="K17" s="220" t="s">
        <v>188</v>
      </c>
      <c r="L17" s="220" t="s">
        <v>189</v>
      </c>
      <c r="Q17" s="147"/>
      <c r="R17" s="147"/>
      <c r="S17" s="147"/>
      <c r="T17" s="147"/>
      <c r="U17" s="163"/>
      <c r="W17" s="164"/>
      <c r="X17" s="165"/>
    </row>
    <row r="18" spans="1:30" s="197" customFormat="1" ht="25.5" x14ac:dyDescent="0.2">
      <c r="A18" s="206" t="s">
        <v>280</v>
      </c>
      <c r="B18" s="206" t="s">
        <v>279</v>
      </c>
      <c r="C18" s="206" t="s">
        <v>281</v>
      </c>
      <c r="D18" s="207" t="s">
        <v>5</v>
      </c>
      <c r="E18" s="207" t="s">
        <v>6</v>
      </c>
      <c r="F18" s="206" t="s">
        <v>277</v>
      </c>
      <c r="G18" s="206" t="s">
        <v>278</v>
      </c>
      <c r="H18" s="221" t="s">
        <v>272</v>
      </c>
      <c r="I18" s="221" t="s">
        <v>273</v>
      </c>
      <c r="J18" s="221" t="s">
        <v>274</v>
      </c>
      <c r="K18" s="221" t="s">
        <v>275</v>
      </c>
      <c r="L18" s="221" t="s">
        <v>276</v>
      </c>
      <c r="M18" s="190"/>
      <c r="N18" s="140"/>
      <c r="O18" s="142" t="s">
        <v>280</v>
      </c>
      <c r="P18" s="143" t="s">
        <v>284</v>
      </c>
      <c r="Q18" s="143" t="s">
        <v>10</v>
      </c>
      <c r="R18" s="143" t="s">
        <v>186</v>
      </c>
      <c r="S18" s="143" t="s">
        <v>187</v>
      </c>
      <c r="T18" s="143" t="s">
        <v>188</v>
      </c>
      <c r="U18" s="143" t="s">
        <v>189</v>
      </c>
      <c r="V18" s="190"/>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197" customFormat="1" x14ac:dyDescent="0.2">
      <c r="A19" s="203" t="s">
        <v>28</v>
      </c>
      <c r="B19" s="203" t="s">
        <v>184</v>
      </c>
      <c r="C19" s="203">
        <v>36</v>
      </c>
      <c r="D19" s="190" t="s">
        <v>29</v>
      </c>
      <c r="E19" s="203">
        <v>285</v>
      </c>
      <c r="F19" s="203">
        <v>6</v>
      </c>
      <c r="G19" s="178" t="s">
        <v>14</v>
      </c>
      <c r="H19" s="213">
        <f>Q19</f>
        <v>33.100219872038359</v>
      </c>
      <c r="I19" s="213">
        <f>R19</f>
        <v>34.182762280469326</v>
      </c>
      <c r="J19" s="213">
        <f>S19</f>
        <v>35.035763294458846</v>
      </c>
      <c r="K19" s="213">
        <f>T19</f>
        <v>35.888764308448373</v>
      </c>
      <c r="L19" s="213">
        <f>U19</f>
        <v>36.741765322437892</v>
      </c>
      <c r="M19" s="190"/>
      <c r="N19" s="140" t="s">
        <v>377</v>
      </c>
      <c r="O19" s="146" t="str">
        <f>A19</f>
        <v>02624C</v>
      </c>
      <c r="P19" s="139" t="str">
        <f>D19</f>
        <v>PWSW2 Apprentice Program for  PWSW1's</v>
      </c>
      <c r="Q19" s="147">
        <v>33.100219872038359</v>
      </c>
      <c r="R19" s="147">
        <v>34.182762280469326</v>
      </c>
      <c r="S19" s="147">
        <v>35.035763294458846</v>
      </c>
      <c r="T19" s="147">
        <v>35.888764308448373</v>
      </c>
      <c r="U19" s="147">
        <v>36.741765322437892</v>
      </c>
      <c r="V19" s="190"/>
      <c r="W19" s="116" t="str">
        <f>O19</f>
        <v>02624C</v>
      </c>
      <c r="X19" s="117">
        <f>C19</f>
        <v>36</v>
      </c>
      <c r="Y19" s="116" t="str">
        <f>D19</f>
        <v>PWSW2 Apprentice Program for  PWSW1's</v>
      </c>
      <c r="Z19" s="123">
        <f>ROUND(Q19,3)</f>
        <v>33.1</v>
      </c>
      <c r="AA19" s="123">
        <f>ROUND(R19,3)</f>
        <v>34.183</v>
      </c>
      <c r="AB19" s="123">
        <f>ROUND(S19,3)</f>
        <v>35.036000000000001</v>
      </c>
      <c r="AC19" s="123">
        <f>ROUND(T19,3)</f>
        <v>35.889000000000003</v>
      </c>
      <c r="AD19" s="123">
        <f>ROUND(U19,3)</f>
        <v>36.741999999999997</v>
      </c>
    </row>
    <row r="20" spans="1:30" s="197" customFormat="1" x14ac:dyDescent="0.2">
      <c r="A20" s="203"/>
      <c r="B20" s="203"/>
      <c r="C20" s="203"/>
      <c r="D20" s="190"/>
      <c r="E20" s="203"/>
      <c r="F20" s="203"/>
      <c r="G20" s="178"/>
      <c r="H20" s="213"/>
      <c r="I20" s="213"/>
      <c r="J20" s="213"/>
      <c r="K20" s="213"/>
      <c r="L20" s="213"/>
      <c r="M20" s="190"/>
      <c r="N20" s="140"/>
      <c r="O20" s="147"/>
      <c r="P20" s="139"/>
      <c r="Q20" s="140"/>
      <c r="R20" s="140"/>
      <c r="S20" s="140"/>
      <c r="T20" s="140"/>
      <c r="U20" s="140"/>
      <c r="V20" s="190"/>
      <c r="W20" s="116"/>
      <c r="X20" s="117"/>
      <c r="Y20" s="116"/>
      <c r="Z20" s="117"/>
      <c r="AA20" s="117"/>
      <c r="AB20" s="116"/>
      <c r="AC20" s="136"/>
      <c r="AD20" s="136"/>
    </row>
    <row r="21" spans="1:30" s="197" customFormat="1" hidden="1" x14ac:dyDescent="0.2">
      <c r="A21" s="203"/>
      <c r="B21" s="203"/>
      <c r="C21" s="215"/>
      <c r="D21" s="190"/>
      <c r="E21" s="203"/>
      <c r="F21" s="203"/>
      <c r="G21" s="203"/>
      <c r="H21" s="220" t="s">
        <v>10</v>
      </c>
      <c r="I21" s="220" t="s">
        <v>186</v>
      </c>
      <c r="J21" s="220" t="s">
        <v>187</v>
      </c>
      <c r="K21" s="220" t="s">
        <v>188</v>
      </c>
      <c r="L21" s="220" t="s">
        <v>189</v>
      </c>
      <c r="M21" s="190"/>
      <c r="N21" s="140"/>
      <c r="O21" s="147"/>
      <c r="P21" s="139"/>
      <c r="Q21" s="140"/>
      <c r="R21" s="140"/>
      <c r="S21" s="140"/>
      <c r="T21" s="140"/>
      <c r="U21" s="140"/>
      <c r="V21" s="190"/>
      <c r="W21" s="116"/>
      <c r="X21" s="117"/>
      <c r="Y21" s="116"/>
      <c r="Z21" s="117"/>
      <c r="AA21" s="117"/>
      <c r="AB21" s="116"/>
      <c r="AC21" s="136"/>
      <c r="AD21" s="136"/>
    </row>
    <row r="22" spans="1:30" s="197" customFormat="1" ht="25.5" hidden="1" x14ac:dyDescent="0.2">
      <c r="A22" s="206" t="s">
        <v>280</v>
      </c>
      <c r="B22" s="206" t="s">
        <v>279</v>
      </c>
      <c r="C22" s="206" t="s">
        <v>281</v>
      </c>
      <c r="D22" s="207" t="s">
        <v>5</v>
      </c>
      <c r="E22" s="207" t="s">
        <v>6</v>
      </c>
      <c r="F22" s="206" t="s">
        <v>277</v>
      </c>
      <c r="G22" s="206" t="s">
        <v>278</v>
      </c>
      <c r="H22" s="221" t="s">
        <v>282</v>
      </c>
      <c r="I22" s="221" t="s">
        <v>273</v>
      </c>
      <c r="J22" s="221" t="s">
        <v>274</v>
      </c>
      <c r="K22" s="221" t="s">
        <v>275</v>
      </c>
      <c r="L22" s="221" t="s">
        <v>276</v>
      </c>
      <c r="M22" s="190"/>
      <c r="N22" s="140"/>
      <c r="O22" s="142" t="s">
        <v>280</v>
      </c>
      <c r="P22" s="143" t="s">
        <v>284</v>
      </c>
      <c r="Q22" s="143" t="s">
        <v>10</v>
      </c>
      <c r="R22" s="143" t="s">
        <v>186</v>
      </c>
      <c r="S22" s="143" t="s">
        <v>187</v>
      </c>
      <c r="T22" s="143" t="s">
        <v>188</v>
      </c>
      <c r="U22" s="143" t="s">
        <v>189</v>
      </c>
      <c r="V22" s="190"/>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197" customFormat="1" hidden="1" x14ac:dyDescent="0.2">
      <c r="A23" s="203" t="s">
        <v>36</v>
      </c>
      <c r="B23" s="203" t="s">
        <v>184</v>
      </c>
      <c r="C23" s="203">
        <v>37</v>
      </c>
      <c r="D23" s="176" t="s">
        <v>37</v>
      </c>
      <c r="E23" s="175">
        <v>285</v>
      </c>
      <c r="F23" s="178">
        <v>6</v>
      </c>
      <c r="G23" s="203" t="s">
        <v>14</v>
      </c>
      <c r="H23" s="213">
        <f>Q23</f>
        <v>34.085615215429172</v>
      </c>
      <c r="I23" s="213">
        <f>R23</f>
        <v>34.929138167710157</v>
      </c>
      <c r="J23" s="213">
        <f>S23</f>
        <v>35.533347219286064</v>
      </c>
      <c r="K23" s="213">
        <f>T23</f>
        <v>36.137556270861985</v>
      </c>
      <c r="L23" s="213">
        <f>U23</f>
        <v>36.741765322437892</v>
      </c>
      <c r="M23" s="190"/>
      <c r="N23" s="140" t="s">
        <v>377</v>
      </c>
      <c r="O23" s="146" t="str">
        <f>A23</f>
        <v>02622C</v>
      </c>
      <c r="P23" s="139" t="str">
        <f>D23</f>
        <v>PWSW2 Apprentice Program for MCL's</v>
      </c>
      <c r="Q23" s="147">
        <v>34.085615215429172</v>
      </c>
      <c r="R23" s="147">
        <v>34.929138167710157</v>
      </c>
      <c r="S23" s="147">
        <v>35.533347219286064</v>
      </c>
      <c r="T23" s="147">
        <v>36.137556270861985</v>
      </c>
      <c r="U23" s="147">
        <v>36.741765322437892</v>
      </c>
      <c r="V23" s="190"/>
      <c r="W23" s="116" t="str">
        <f>O23</f>
        <v>02622C</v>
      </c>
      <c r="X23" s="117">
        <f>C23</f>
        <v>37</v>
      </c>
      <c r="Y23" s="116" t="str">
        <f>D23</f>
        <v>PWSW2 Apprentice Program for MCL's</v>
      </c>
      <c r="Z23" s="123">
        <f>ROUND(Q23,3)</f>
        <v>34.085999999999999</v>
      </c>
      <c r="AA23" s="123">
        <f>ROUND(R23,3)</f>
        <v>34.929000000000002</v>
      </c>
      <c r="AB23" s="123">
        <f>ROUND(S23,3)</f>
        <v>35.533000000000001</v>
      </c>
      <c r="AC23" s="123">
        <f>ROUND(T23,3)</f>
        <v>36.137999999999998</v>
      </c>
      <c r="AD23" s="123">
        <f>ROUND(U23,3)</f>
        <v>36.741999999999997</v>
      </c>
    </row>
    <row r="24" spans="1:30" s="197" customFormat="1" hidden="1" x14ac:dyDescent="0.2">
      <c r="A24" s="203"/>
      <c r="B24" s="203"/>
      <c r="C24" s="203"/>
      <c r="D24" s="189"/>
      <c r="E24" s="175"/>
      <c r="F24" s="175"/>
      <c r="G24" s="178"/>
      <c r="H24" s="203" t="s">
        <v>30</v>
      </c>
      <c r="I24" s="213"/>
      <c r="J24" s="203" t="s">
        <v>30</v>
      </c>
      <c r="K24" s="218"/>
      <c r="L24" s="218"/>
      <c r="M24" s="214"/>
      <c r="N24" s="146"/>
      <c r="O24" s="146"/>
      <c r="P24" s="139"/>
      <c r="Q24" s="140"/>
      <c r="R24" s="140"/>
      <c r="S24" s="140"/>
      <c r="T24" s="140"/>
      <c r="U24" s="140"/>
      <c r="V24" s="190"/>
      <c r="W24" s="116"/>
      <c r="X24" s="117"/>
      <c r="Y24" s="116"/>
      <c r="Z24" s="117"/>
      <c r="AA24" s="117"/>
      <c r="AB24" s="116"/>
      <c r="AC24" s="136"/>
      <c r="AD24" s="136"/>
    </row>
    <row r="25" spans="1:30" s="197" customFormat="1" ht="25.5" x14ac:dyDescent="0.2">
      <c r="A25" s="206" t="s">
        <v>280</v>
      </c>
      <c r="B25" s="206" t="s">
        <v>279</v>
      </c>
      <c r="C25" s="206" t="s">
        <v>281</v>
      </c>
      <c r="D25" s="207" t="s">
        <v>5</v>
      </c>
      <c r="E25" s="207" t="s">
        <v>6</v>
      </c>
      <c r="F25" s="206" t="s">
        <v>277</v>
      </c>
      <c r="G25" s="206" t="s">
        <v>278</v>
      </c>
      <c r="H25" s="221" t="s">
        <v>390</v>
      </c>
      <c r="I25" s="221" t="s">
        <v>391</v>
      </c>
      <c r="J25" s="221" t="s">
        <v>392</v>
      </c>
      <c r="K25" s="221"/>
      <c r="L25" s="221"/>
      <c r="M25" s="190"/>
      <c r="N25" s="140"/>
      <c r="O25" s="142" t="s">
        <v>280</v>
      </c>
      <c r="P25" s="143" t="s">
        <v>284</v>
      </c>
      <c r="Q25" s="143" t="s">
        <v>10</v>
      </c>
      <c r="R25" s="143" t="s">
        <v>186</v>
      </c>
      <c r="S25" s="143" t="s">
        <v>187</v>
      </c>
      <c r="T25" s="143" t="s">
        <v>188</v>
      </c>
      <c r="U25" s="143" t="s">
        <v>189</v>
      </c>
      <c r="V25" s="213"/>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197" customFormat="1" x14ac:dyDescent="0.2">
      <c r="A26" s="203" t="s">
        <v>388</v>
      </c>
      <c r="B26" s="203" t="s">
        <v>184</v>
      </c>
      <c r="C26" s="203">
        <v>38</v>
      </c>
      <c r="D26" s="176" t="s">
        <v>389</v>
      </c>
      <c r="E26" s="175">
        <v>263</v>
      </c>
      <c r="F26" s="178">
        <v>5</v>
      </c>
      <c r="G26" s="178" t="s">
        <v>14</v>
      </c>
      <c r="H26" s="213">
        <f>Q26</f>
        <v>21.395936099999989</v>
      </c>
      <c r="I26" s="213">
        <f>R26</f>
        <v>24.76133854906249</v>
      </c>
      <c r="J26" s="213">
        <f>S26</f>
        <v>31.514430880624996</v>
      </c>
      <c r="K26" s="218"/>
      <c r="L26" s="218"/>
      <c r="M26" s="214"/>
      <c r="N26" s="146" t="s">
        <v>377</v>
      </c>
      <c r="O26" s="146" t="str">
        <f>A26</f>
        <v>52919C</v>
      </c>
      <c r="P26" s="139" t="str">
        <f>D26</f>
        <v>Auto Mechanic Trainee</v>
      </c>
      <c r="Q26" s="147">
        <v>21.395936099999989</v>
      </c>
      <c r="R26" s="147">
        <v>24.76133854906249</v>
      </c>
      <c r="S26" s="147">
        <v>31.514430880624996</v>
      </c>
      <c r="T26" s="147"/>
      <c r="U26" s="147"/>
      <c r="V26" s="190"/>
      <c r="W26" s="116" t="str">
        <f>O26</f>
        <v>52919C</v>
      </c>
      <c r="X26" s="117">
        <f>C26</f>
        <v>38</v>
      </c>
      <c r="Y26" s="116" t="str">
        <f>D26</f>
        <v>Auto Mechanic Trainee</v>
      </c>
      <c r="Z26" s="123">
        <f>ROUND(Q26,3)</f>
        <v>21.396000000000001</v>
      </c>
      <c r="AA26" s="123">
        <f>ROUND(R26,3)</f>
        <v>24.760999999999999</v>
      </c>
      <c r="AB26" s="123">
        <f>ROUND(S26,3)</f>
        <v>31.513999999999999</v>
      </c>
      <c r="AC26" s="123"/>
      <c r="AD26" s="123"/>
    </row>
    <row r="27" spans="1:30" s="197" customFormat="1" x14ac:dyDescent="0.2">
      <c r="A27" s="203"/>
      <c r="B27" s="203"/>
      <c r="C27" s="203"/>
      <c r="D27" s="189"/>
      <c r="E27" s="175"/>
      <c r="F27" s="175"/>
      <c r="G27" s="178"/>
      <c r="H27" s="222"/>
      <c r="I27" s="213"/>
      <c r="J27" s="222"/>
      <c r="K27" s="223"/>
      <c r="L27" s="218"/>
      <c r="M27" s="214"/>
      <c r="N27" s="146"/>
      <c r="O27" s="146"/>
      <c r="P27" s="139"/>
      <c r="Q27" s="140"/>
      <c r="R27" s="140"/>
      <c r="S27" s="140"/>
      <c r="T27" s="140"/>
      <c r="U27" s="140"/>
      <c r="V27" s="190"/>
      <c r="W27" s="116"/>
      <c r="X27" s="117"/>
      <c r="Y27" s="116"/>
      <c r="Z27" s="117"/>
      <c r="AA27" s="117"/>
      <c r="AB27" s="116"/>
      <c r="AC27" s="136"/>
      <c r="AD27" s="136"/>
    </row>
    <row r="28" spans="1:30" s="197" customFormat="1" x14ac:dyDescent="0.2">
      <c r="A28" s="203"/>
      <c r="B28" s="190"/>
      <c r="C28" s="190"/>
      <c r="D28" s="190"/>
      <c r="E28" s="195"/>
      <c r="F28" s="190"/>
      <c r="G28" s="190"/>
      <c r="H28" s="190"/>
      <c r="I28" s="190"/>
      <c r="J28" s="190"/>
      <c r="M28" s="190"/>
      <c r="N28" s="140"/>
      <c r="O28" s="139"/>
      <c r="P28" s="139"/>
      <c r="Q28" s="140"/>
      <c r="R28" s="140"/>
      <c r="S28" s="140"/>
      <c r="T28" s="140"/>
      <c r="U28" s="140"/>
      <c r="V28" s="190"/>
      <c r="W28" s="116"/>
      <c r="X28" s="117"/>
      <c r="Y28" s="116"/>
      <c r="Z28" s="117"/>
      <c r="AA28" s="117"/>
      <c r="AB28" s="116"/>
      <c r="AC28" s="136"/>
      <c r="AD28" s="136"/>
    </row>
    <row r="29" spans="1:30" x14ac:dyDescent="0.2">
      <c r="A29" s="190" t="str">
        <f>"A Supplemental Pension contribution of "&amp;TEXT(Q29,"$0.000")&amp;" per hour for all hours paid will be made to the Central Pension Fund."</f>
        <v>A Supplemental Pension contribution of $2.000 per hour for all hours paid will be made to the Central Pension Fund.</v>
      </c>
      <c r="K29" s="190"/>
      <c r="L29" s="190"/>
      <c r="O29" s="139" t="s">
        <v>381</v>
      </c>
      <c r="P29" s="139" t="s">
        <v>375</v>
      </c>
      <c r="Q29" s="149">
        <v>2</v>
      </c>
      <c r="R29" s="150" t="s">
        <v>406</v>
      </c>
      <c r="W29" s="116" t="str">
        <f>O29</f>
        <v>Pension</v>
      </c>
      <c r="Z29" s="187">
        <f>ROUND(Q29,3)</f>
        <v>2</v>
      </c>
      <c r="AA29" s="187" t="str">
        <f>R29</f>
        <v>Pension2024</v>
      </c>
    </row>
    <row r="30" spans="1:30" x14ac:dyDescent="0.2">
      <c r="A30" s="202"/>
    </row>
    <row r="31" spans="1:30" x14ac:dyDescent="0.2">
      <c r="A31" s="179" t="s">
        <v>416</v>
      </c>
    </row>
    <row r="32" spans="1:30" x14ac:dyDescent="0.2">
      <c r="A32" s="179" t="s">
        <v>46</v>
      </c>
      <c r="F32" s="203"/>
      <c r="G32" s="224"/>
      <c r="H32" s="224"/>
      <c r="I32" s="224"/>
      <c r="J32" s="203"/>
    </row>
    <row r="33" spans="1:26" x14ac:dyDescent="0.2">
      <c r="A33" s="189"/>
      <c r="B33" s="175"/>
      <c r="C33" s="175"/>
      <c r="D33" s="175"/>
      <c r="E33" s="225"/>
      <c r="F33" s="226"/>
      <c r="G33" s="226"/>
      <c r="H33" s="226"/>
      <c r="I33" s="226"/>
      <c r="J33" s="226"/>
      <c r="K33" s="190"/>
    </row>
    <row r="34" spans="1:26" x14ac:dyDescent="0.2">
      <c r="A34" s="176" t="s">
        <v>229</v>
      </c>
      <c r="K34" s="190"/>
      <c r="W34" s="156" t="s">
        <v>398</v>
      </c>
      <c r="X34" s="157"/>
      <c r="Y34" s="156"/>
      <c r="Z34" s="157" t="s">
        <v>399</v>
      </c>
    </row>
    <row r="35" spans="1:26" x14ac:dyDescent="0.2">
      <c r="A35" s="176" t="str">
        <f>"Paver (Blaw Knox &amp; Gilcrest), Brokk, or Curb Machine, they shall be paid a premium of "&amp;TEXT(Q35,"$0.000")&amp;" per hour for all hours on the equipment."</f>
        <v>Paver (Blaw Knox &amp; Gilcrest), Brokk, or Curb Machine, they shall be paid a premium of $1.348 per hour for all hours on the equipment.</v>
      </c>
      <c r="G35"/>
      <c r="H35"/>
      <c r="K35" s="190"/>
      <c r="N35" s="140" t="s">
        <v>377</v>
      </c>
      <c r="O35" s="139" t="s">
        <v>351</v>
      </c>
      <c r="P35" s="139" t="s">
        <v>352</v>
      </c>
      <c r="Q35" s="147">
        <f>IF($N35="Y",VLOOKUP($O35,Data2023,Q$6,0)*PercIncr2024,VLOOKUP($O35,Data2023,Q$6,0))</f>
        <v>1.3483897229687494</v>
      </c>
      <c r="W35" s="116" t="str">
        <f>O35</f>
        <v>CEQEQB</v>
      </c>
      <c r="Y35" s="116" t="str">
        <f>P35</f>
        <v>TL-Equipment B-CEQ</v>
      </c>
      <c r="Z35" s="123">
        <f>Q35</f>
        <v>1.3483897229687494</v>
      </c>
    </row>
    <row r="36" spans="1:26" x14ac:dyDescent="0.2">
      <c r="A36" s="178"/>
      <c r="B36" s="175"/>
      <c r="C36" s="175"/>
      <c r="D36" s="175"/>
      <c r="E36" s="199"/>
      <c r="F36" s="175"/>
      <c r="G36" s="178"/>
      <c r="H36" s="226"/>
      <c r="I36" s="226"/>
      <c r="J36" s="226"/>
      <c r="K36" s="190"/>
    </row>
    <row r="37" spans="1:26" x14ac:dyDescent="0.2">
      <c r="A37" s="176" t="s">
        <v>230</v>
      </c>
      <c r="G37" s="203"/>
      <c r="K37" s="190"/>
    </row>
    <row r="38" spans="1:26" x14ac:dyDescent="0.2">
      <c r="A38" s="176" t="str">
        <f>"Hydraulic Boom Crane (Carry Deck), or Boring Machine, they shall be paid a premium of "&amp;TEXT(Q38,"$0.000")&amp;" per  hour for all hours on the equipment."</f>
        <v>Hydraulic Boom Crane (Carry Deck), or Boring Machine, they shall be paid a premium of $2.206 per  hour for all hours on the equipment.</v>
      </c>
      <c r="G38"/>
      <c r="H38"/>
      <c r="K38" s="190"/>
      <c r="N38" s="140" t="s">
        <v>377</v>
      </c>
      <c r="O38" s="139" t="s">
        <v>350</v>
      </c>
      <c r="P38" s="139" t="s">
        <v>349</v>
      </c>
      <c r="Q38" s="147">
        <f>IF($N38="Y",VLOOKUP($O38,Data2023,Q$6,0)*PercIncr2024,VLOOKUP($O38,Data2023,Q$6,0))</f>
        <v>2.2064559103124992</v>
      </c>
      <c r="W38" s="116" t="str">
        <f>O38</f>
        <v>CEQEQC</v>
      </c>
      <c r="Y38" s="116" t="str">
        <f>P38</f>
        <v>TL-Equipment C-CEQ</v>
      </c>
      <c r="Z38" s="123">
        <f>Q38</f>
        <v>2.2064559103124992</v>
      </c>
    </row>
    <row r="39" spans="1:26" x14ac:dyDescent="0.2">
      <c r="A39" s="178"/>
      <c r="G39" s="203"/>
    </row>
    <row r="40" spans="1:26" x14ac:dyDescent="0.2">
      <c r="A40" s="178"/>
      <c r="G40" s="203"/>
    </row>
    <row r="41" spans="1:26" x14ac:dyDescent="0.2">
      <c r="A41" s="227" t="s">
        <v>415</v>
      </c>
      <c r="C41" s="228"/>
      <c r="D41" s="175"/>
      <c r="E41" s="199"/>
      <c r="F41" s="175"/>
      <c r="G41"/>
      <c r="H41"/>
      <c r="I41" s="226"/>
      <c r="J41" s="226"/>
      <c r="Q41" s="147"/>
    </row>
    <row r="42" spans="1:26" x14ac:dyDescent="0.2">
      <c r="A42" s="175" t="str">
        <f>TEXT(Q42,"$0.000")&amp;" per hour shall be paid to all employees while operating a Class 'A' - combination vehicle as defined by Federal DOT regulations. "</f>
        <v xml:space="preserve">$2.021 per hour shall be paid to all employees while operating a Class 'A' - combination vehicle as defined by Federal DOT regulations. </v>
      </c>
      <c r="C42" s="228"/>
      <c r="D42" s="175"/>
      <c r="E42" s="199"/>
      <c r="F42" s="175"/>
      <c r="G42" s="175"/>
      <c r="H42" s="226"/>
      <c r="I42" s="226"/>
      <c r="J42" s="226"/>
      <c r="N42" s="140" t="s">
        <v>377</v>
      </c>
      <c r="O42" s="139" t="s">
        <v>348</v>
      </c>
      <c r="P42" s="139" t="s">
        <v>347</v>
      </c>
      <c r="Q42" s="147">
        <f>IF($N42="Y",VLOOKUP($O42,Data2023,Q$6,0)*PercIncr2024,VLOOKUP($O42,Data2023,Q$6,0))</f>
        <v>2.0214702127812494</v>
      </c>
      <c r="W42" s="116" t="str">
        <f>O42</f>
        <v>CEQSPE</v>
      </c>
      <c r="Y42" s="116" t="str">
        <f>P42</f>
        <v>TL-Special Endorsement-CEQ</v>
      </c>
      <c r="Z42" s="123">
        <f>Q42</f>
        <v>2.0214702127812494</v>
      </c>
    </row>
    <row r="43" spans="1:26" x14ac:dyDescent="0.2">
      <c r="A43" s="190" t="s">
        <v>215</v>
      </c>
      <c r="C43" s="228"/>
      <c r="D43" s="175"/>
      <c r="E43" s="199"/>
      <c r="F43" s="175"/>
      <c r="G43" s="175"/>
      <c r="H43" s="226"/>
      <c r="I43" s="226"/>
      <c r="J43" s="226"/>
    </row>
    <row r="44" spans="1:26" x14ac:dyDescent="0.2">
      <c r="A44" s="178"/>
    </row>
    <row r="45" spans="1:26" x14ac:dyDescent="0.2">
      <c r="A45" s="173" t="s">
        <v>414</v>
      </c>
      <c r="B45" s="229"/>
      <c r="K45" s="230"/>
    </row>
    <row r="46" spans="1:26" x14ac:dyDescent="0.2">
      <c r="A46" s="176" t="s">
        <v>227</v>
      </c>
      <c r="K46" s="190"/>
    </row>
    <row r="47" spans="1:26" x14ac:dyDescent="0.2">
      <c r="A47" s="176" t="str">
        <f>"of Plant Repair Worker, Plant Operator, and Blacksmith to receive an additional "&amp;TEXT(Q47,"$0.000")&amp;" per hour for attaining and"</f>
        <v>of Plant Repair Worker, Plant Operator, and Blacksmith to receive an additional $0.337 per hour for attaining and</v>
      </c>
      <c r="K47" s="190"/>
      <c r="N47" s="140" t="s">
        <v>377</v>
      </c>
      <c r="O47" s="139" t="s">
        <v>342</v>
      </c>
      <c r="P47" s="139" t="s">
        <v>341</v>
      </c>
      <c r="Q47" s="147">
        <f>IF($N47="Y",VLOOKUP($O47,Data2023,Q$6,0)*PercIncr2024,VLOOKUP($O47,Data2023,Q$6,0))</f>
        <v>0.33654024490624984</v>
      </c>
      <c r="W47" s="116" t="str">
        <f>O47</f>
        <v>CEQHAZ</v>
      </c>
      <c r="Y47" s="116" t="str">
        <f>P47</f>
        <v>Haz-Mat Certification</v>
      </c>
      <c r="Z47" s="123">
        <f>Q47</f>
        <v>0.33654024490624984</v>
      </c>
    </row>
    <row r="48" spans="1:26" x14ac:dyDescent="0.2">
      <c r="A48" s="190" t="s">
        <v>318</v>
      </c>
      <c r="K48" s="190"/>
      <c r="L48" s="230">
        <v>0.23699999999999999</v>
      </c>
    </row>
    <row r="49" spans="1:26" x14ac:dyDescent="0.2">
      <c r="A49" s="176" t="s">
        <v>319</v>
      </c>
      <c r="K49" s="190"/>
    </row>
    <row r="50" spans="1:26" x14ac:dyDescent="0.2">
      <c r="A50" s="176" t="s">
        <v>320</v>
      </c>
      <c r="K50" s="190"/>
    </row>
    <row r="51" spans="1:26" x14ac:dyDescent="0.2">
      <c r="A51" s="176" t="s">
        <v>321</v>
      </c>
      <c r="K51" s="190"/>
    </row>
    <row r="52" spans="1:26" x14ac:dyDescent="0.2">
      <c r="A52" s="176" t="s">
        <v>322</v>
      </c>
      <c r="K52" s="190"/>
    </row>
    <row r="53" spans="1:26" x14ac:dyDescent="0.2">
      <c r="A53" s="176"/>
    </row>
    <row r="54" spans="1:26" x14ac:dyDescent="0.2">
      <c r="A54" s="176" t="s">
        <v>64</v>
      </c>
    </row>
    <row r="55" spans="1:26" x14ac:dyDescent="0.2">
      <c r="A55" s="176" t="s">
        <v>323</v>
      </c>
    </row>
    <row r="56" spans="1:26" x14ac:dyDescent="0.2">
      <c r="A56" s="231" t="str">
        <f>"Level A (as defined by OSHA) - "&amp;TEXT(Q56,"$0.000")&amp;" per hour"</f>
        <v>Level A (as defined by OSHA) - $2.106 per hour</v>
      </c>
      <c r="F56"/>
      <c r="G56"/>
      <c r="N56" s="140" t="s">
        <v>377</v>
      </c>
      <c r="O56" s="139" t="s">
        <v>345</v>
      </c>
      <c r="P56" s="139" t="s">
        <v>343</v>
      </c>
      <c r="Q56" s="147">
        <f>IF($N56="Y",VLOOKUP($O56,Data2023,Q$6,0)*PercIncr2024,VLOOKUP($O56,Data2023,Q$6,0))</f>
        <v>2.1061809548036008</v>
      </c>
      <c r="W56" s="116" t="str">
        <f>O56</f>
        <v>CEQOPA</v>
      </c>
      <c r="Y56" s="116" t="str">
        <f t="shared" ref="Y56:Z58" si="9">P56</f>
        <v>TL-OSHA Prot Equip A-CEQ</v>
      </c>
      <c r="Z56" s="123">
        <f t="shared" si="9"/>
        <v>2.1061809548036008</v>
      </c>
    </row>
    <row r="57" spans="1:26" x14ac:dyDescent="0.2">
      <c r="A57" s="231" t="str">
        <f>"Level B (as defined by OSHA) - "&amp;TEXT(Q57,"$0.000")&amp;" per hour"</f>
        <v>Level B (as defined by OSHA) - $1.515 per hour</v>
      </c>
      <c r="F57"/>
      <c r="G57"/>
      <c r="N57" s="140" t="s">
        <v>377</v>
      </c>
      <c r="O57" s="139" t="s">
        <v>346</v>
      </c>
      <c r="P57" s="139" t="s">
        <v>344</v>
      </c>
      <c r="Q57" s="147">
        <f>IF($N57="Y",VLOOKUP($O57,Data2023,Q$6,0)*PercIncr2024,VLOOKUP($O57,Data2023,Q$6,0))</f>
        <v>1.5150205040427998</v>
      </c>
      <c r="W57" s="116" t="str">
        <f>O57</f>
        <v>CEQOPB</v>
      </c>
      <c r="Y57" s="116" t="str">
        <f t="shared" si="9"/>
        <v>TL-OSHA Prot Equip B-CEQ</v>
      </c>
      <c r="Z57" s="123">
        <f t="shared" si="9"/>
        <v>1.5150205040427998</v>
      </c>
    </row>
    <row r="58" spans="1:26" x14ac:dyDescent="0.2">
      <c r="A58" s="231" t="str">
        <f>"Level C (as defined by OSHA) - "&amp;TEXT(Q58,"$0.000")&amp;" per hour"</f>
        <v>Level C (as defined by OSHA) - $1.010 per hour</v>
      </c>
      <c r="B58" s="178"/>
      <c r="C58" s="175"/>
      <c r="D58" s="175"/>
      <c r="E58" s="199"/>
      <c r="F58"/>
      <c r="G58"/>
      <c r="H58" s="226"/>
      <c r="I58" s="226"/>
      <c r="J58" s="226"/>
      <c r="K58" s="230"/>
      <c r="N58" s="140" t="s">
        <v>377</v>
      </c>
      <c r="O58" s="139" t="s">
        <v>326</v>
      </c>
      <c r="P58" s="139" t="s">
        <v>325</v>
      </c>
      <c r="Q58" s="147">
        <f>IF($N58="Y",VLOOKUP($O58,Data2023,Q$6,0)*PercIncr2024,VLOOKUP($O58,Data2023,Q$6,0))</f>
        <v>1.0104719332771848</v>
      </c>
      <c r="W58" s="116" t="str">
        <f>O58</f>
        <v>CEQOPC</v>
      </c>
      <c r="Y58" s="116" t="str">
        <f t="shared" si="9"/>
        <v>TL-OSHA Prot Equip C-CEQ</v>
      </c>
      <c r="Z58" s="123">
        <f t="shared" si="9"/>
        <v>1.0104719332771848</v>
      </c>
    </row>
    <row r="59" spans="1:26" x14ac:dyDescent="0.2">
      <c r="A59" s="176"/>
      <c r="B59" s="178"/>
      <c r="C59" s="175"/>
      <c r="D59" s="175"/>
      <c r="E59" s="199"/>
      <c r="H59" s="226"/>
      <c r="I59" s="226"/>
      <c r="J59" s="226"/>
      <c r="K59" s="230"/>
    </row>
    <row r="60" spans="1:26" x14ac:dyDescent="0.2">
      <c r="A60" s="173" t="s">
        <v>426</v>
      </c>
      <c r="B60" s="174"/>
      <c r="C60" s="175"/>
      <c r="D60" s="175"/>
      <c r="E60" s="199"/>
      <c r="H60" s="226"/>
      <c r="I60" s="226"/>
      <c r="J60" s="226"/>
      <c r="K60" s="230"/>
    </row>
    <row r="61" spans="1:26" x14ac:dyDescent="0.2">
      <c r="A61" s="176" t="s">
        <v>427</v>
      </c>
      <c r="B61" s="177"/>
      <c r="C61" s="178"/>
      <c r="D61" s="175"/>
      <c r="E61" s="175"/>
      <c r="F61" s="175"/>
      <c r="G61" s="175"/>
      <c r="H61" s="226"/>
      <c r="I61" s="226"/>
      <c r="J61" s="226"/>
    </row>
    <row r="62" spans="1:26" x14ac:dyDescent="0.2">
      <c r="A62" s="179" t="s">
        <v>428</v>
      </c>
      <c r="B62" s="177"/>
      <c r="C62" s="177"/>
      <c r="D62" s="175"/>
      <c r="E62" s="175"/>
      <c r="F62" s="175"/>
      <c r="G62" s="175"/>
      <c r="H62" s="226"/>
      <c r="I62" s="226"/>
      <c r="J62" s="226"/>
    </row>
    <row r="63" spans="1:26" x14ac:dyDescent="0.2">
      <c r="A63" s="180"/>
      <c r="B63" s="177" t="s">
        <v>10</v>
      </c>
      <c r="C63" s="181" t="s">
        <v>442</v>
      </c>
      <c r="D63" s="175"/>
      <c r="E63" s="175"/>
      <c r="F63" s="175"/>
      <c r="G63" s="175"/>
      <c r="H63" s="226"/>
      <c r="I63" s="226"/>
      <c r="J63" s="226"/>
      <c r="N63" s="140" t="s">
        <v>377</v>
      </c>
      <c r="O63" s="182" t="s">
        <v>369</v>
      </c>
      <c r="P63" s="182" t="s">
        <v>370</v>
      </c>
      <c r="Q63" s="183">
        <f>IF($N63="Y",VLOOKUP($O63,Data2023,Q$6,0)*PercIncr2024,VLOOKUP($O63,Data2023,Q$6,0))</f>
        <v>0.84750827865615996</v>
      </c>
      <c r="W63" s="185" t="str">
        <f>O63</f>
        <v>CEQWLC</v>
      </c>
      <c r="X63" s="186"/>
      <c r="Y63" s="185" t="str">
        <f>P63</f>
        <v>Welding Certification - Core</v>
      </c>
      <c r="Z63" s="187">
        <f>Q63</f>
        <v>0.84750827865615996</v>
      </c>
    </row>
    <row r="64" spans="1:26" x14ac:dyDescent="0.2">
      <c r="A64" s="177"/>
      <c r="B64" s="177" t="s">
        <v>186</v>
      </c>
      <c r="C64" s="181" t="s">
        <v>429</v>
      </c>
      <c r="D64" s="175"/>
      <c r="E64" s="175"/>
      <c r="F64" s="175"/>
      <c r="G64" s="175"/>
      <c r="H64" s="232"/>
      <c r="I64" s="226"/>
      <c r="J64" s="226"/>
      <c r="O64" s="182"/>
      <c r="P64" s="182"/>
      <c r="Q64" s="233"/>
      <c r="W64" s="185"/>
      <c r="X64" s="186"/>
      <c r="Y64" s="185"/>
      <c r="Z64" s="186"/>
    </row>
    <row r="65" spans="1:30" x14ac:dyDescent="0.2">
      <c r="A65" s="177"/>
      <c r="B65" s="177" t="s">
        <v>187</v>
      </c>
      <c r="C65" s="181" t="s">
        <v>430</v>
      </c>
      <c r="D65" s="175"/>
      <c r="E65" s="175"/>
      <c r="F65" s="175"/>
      <c r="G65" s="175"/>
      <c r="I65" s="226"/>
      <c r="J65" s="226"/>
      <c r="K65" s="230"/>
      <c r="N65" s="140" t="s">
        <v>377</v>
      </c>
      <c r="O65" s="182" t="s">
        <v>365</v>
      </c>
      <c r="P65" s="182" t="s">
        <v>366</v>
      </c>
      <c r="Q65" s="183">
        <f>IF($N65="Y",VLOOKUP($O65,Data2023,Q$6,0)*PercIncr2024,VLOOKUP($O65,Data2023,Q$6,0))</f>
        <v>0.84750827865615996</v>
      </c>
      <c r="W65" s="185" t="str">
        <f>O65</f>
        <v>CEQWLS</v>
      </c>
      <c r="X65" s="186"/>
      <c r="Y65" s="185" t="str">
        <f>P65</f>
        <v>Welding Cert - Supplemental</v>
      </c>
      <c r="Z65" s="187">
        <f>Q65</f>
        <v>0.84750827865615996</v>
      </c>
    </row>
    <row r="66" spans="1:30" x14ac:dyDescent="0.2">
      <c r="A66" s="177"/>
      <c r="B66" s="177" t="s">
        <v>188</v>
      </c>
      <c r="C66" s="181" t="s">
        <v>431</v>
      </c>
      <c r="D66" s="175"/>
      <c r="E66" s="175"/>
      <c r="F66" s="175"/>
      <c r="G66" s="175"/>
      <c r="I66" s="226"/>
      <c r="J66" s="226"/>
      <c r="K66" s="230"/>
      <c r="N66" s="140" t="s">
        <v>377</v>
      </c>
      <c r="O66" s="182" t="s">
        <v>367</v>
      </c>
      <c r="P66" s="182" t="s">
        <v>368</v>
      </c>
      <c r="Q66" s="183">
        <f>IF($N67="Y",VLOOKUP($O66,Data2023,Q$6,0)*PercIncr2024,VLOOKUP($O66,Data2023,Q$6,0))</f>
        <v>0.84750827865615996</v>
      </c>
      <c r="W66" s="185"/>
      <c r="X66" s="186"/>
      <c r="Y66" s="185"/>
      <c r="Z66" s="186"/>
    </row>
    <row r="67" spans="1:30" x14ac:dyDescent="0.2">
      <c r="A67" s="180"/>
      <c r="B67" s="234"/>
      <c r="C67" s="175"/>
      <c r="E67" s="190"/>
      <c r="F67" s="175"/>
      <c r="G67" s="175"/>
      <c r="H67" s="226"/>
      <c r="I67" s="226"/>
      <c r="J67" s="226"/>
      <c r="N67" s="140" t="s">
        <v>377</v>
      </c>
      <c r="O67" s="182" t="s">
        <v>401</v>
      </c>
      <c r="P67" s="182" t="s">
        <v>402</v>
      </c>
      <c r="Q67" s="183">
        <f>Q66</f>
        <v>0.84750827865615996</v>
      </c>
      <c r="W67" s="185" t="str">
        <f>O66</f>
        <v>CEQWL6</v>
      </c>
      <c r="X67" s="186"/>
      <c r="Y67" s="185" t="str">
        <f>P66</f>
        <v>Welding Cert-Supplemental 6</v>
      </c>
      <c r="Z67" s="187">
        <f>Q66</f>
        <v>0.84750827865615996</v>
      </c>
    </row>
    <row r="68" spans="1:30" x14ac:dyDescent="0.2">
      <c r="A68" s="173" t="s">
        <v>438</v>
      </c>
      <c r="B68" s="188"/>
      <c r="C68" s="175"/>
      <c r="D68" s="175"/>
      <c r="E68" s="199"/>
      <c r="F68" s="175"/>
      <c r="G68" s="175"/>
      <c r="H68" s="226"/>
      <c r="I68" s="226"/>
      <c r="J68" s="175"/>
      <c r="Q68" s="147"/>
      <c r="R68" s="154"/>
      <c r="Z68" s="123"/>
    </row>
    <row r="69" spans="1:30" x14ac:dyDescent="0.2">
      <c r="A69" s="179" t="s">
        <v>432</v>
      </c>
      <c r="B69" s="176"/>
      <c r="C69" s="175"/>
      <c r="D69" s="175"/>
      <c r="E69" s="199"/>
      <c r="F69" s="175"/>
      <c r="G69" s="175"/>
    </row>
    <row r="70" spans="1:30" x14ac:dyDescent="0.2">
      <c r="A70" s="180"/>
      <c r="B70" s="177" t="s">
        <v>10</v>
      </c>
      <c r="C70" s="191" t="s">
        <v>436</v>
      </c>
      <c r="D70" s="175"/>
      <c r="E70" s="199"/>
      <c r="F70" s="175"/>
      <c r="G70" s="175"/>
      <c r="H70"/>
      <c r="I70"/>
      <c r="N70" s="192"/>
      <c r="O70" s="182"/>
      <c r="P70" s="182"/>
      <c r="Q70" s="183"/>
      <c r="R70" s="154"/>
      <c r="W70" s="185"/>
      <c r="X70" s="186"/>
      <c r="Y70" s="185"/>
      <c r="Z70" s="187"/>
    </row>
    <row r="71" spans="1:30" x14ac:dyDescent="0.2">
      <c r="A71" s="180"/>
      <c r="B71" s="177" t="s">
        <v>186</v>
      </c>
      <c r="C71" s="191" t="s">
        <v>433</v>
      </c>
      <c r="D71" s="175"/>
      <c r="E71" s="199"/>
      <c r="F71" s="175"/>
      <c r="G71" s="175"/>
      <c r="H71" s="202"/>
      <c r="W71" s="185"/>
      <c r="X71" s="186"/>
      <c r="Y71" s="185"/>
      <c r="Z71" s="186"/>
    </row>
    <row r="72" spans="1:30" x14ac:dyDescent="0.2">
      <c r="A72"/>
      <c r="B72" s="177" t="s">
        <v>187</v>
      </c>
      <c r="C72" s="191" t="s">
        <v>434</v>
      </c>
      <c r="D72" s="175"/>
      <c r="E72" s="199"/>
      <c r="F72" s="175"/>
      <c r="G72" s="175"/>
      <c r="H72" s="202"/>
      <c r="W72" s="185"/>
      <c r="X72" s="186"/>
      <c r="Y72" s="185"/>
      <c r="Z72" s="186"/>
    </row>
    <row r="73" spans="1:30" x14ac:dyDescent="0.2">
      <c r="A73"/>
      <c r="B73" s="177" t="s">
        <v>188</v>
      </c>
      <c r="C73" s="191" t="s">
        <v>435</v>
      </c>
      <c r="H73"/>
      <c r="I73"/>
      <c r="J73"/>
      <c r="K73" s="235"/>
      <c r="N73" s="192"/>
      <c r="O73" s="182"/>
      <c r="P73" s="182"/>
      <c r="Q73" s="183"/>
      <c r="R73" s="194"/>
      <c r="W73" s="185"/>
      <c r="X73" s="186"/>
      <c r="Y73" s="185"/>
      <c r="Z73" s="187"/>
    </row>
    <row r="74" spans="1:30" x14ac:dyDescent="0.2">
      <c r="A74" s="196"/>
      <c r="B74" s="175"/>
      <c r="H74"/>
      <c r="I74"/>
      <c r="J74"/>
      <c r="N74" s="192"/>
      <c r="O74" s="182"/>
      <c r="P74" s="182"/>
      <c r="Q74" s="183"/>
      <c r="R74" s="194"/>
      <c r="W74" s="185"/>
      <c r="X74" s="186"/>
      <c r="Y74" s="185"/>
      <c r="Z74" s="187"/>
    </row>
    <row r="75" spans="1:30" hidden="1" x14ac:dyDescent="0.2">
      <c r="A75" s="196"/>
      <c r="B75" s="175"/>
      <c r="H75"/>
      <c r="I75"/>
      <c r="J75"/>
      <c r="N75" s="192" t="s">
        <v>377</v>
      </c>
      <c r="O75" s="182" t="s">
        <v>334</v>
      </c>
      <c r="P75" s="182" t="s">
        <v>330</v>
      </c>
      <c r="Q75" s="183">
        <f>IF($N75="Y",VLOOKUP($O75,Data2023,Q$6,0)*PercIncr2024,VLOOKUP($O75,Data2023,Q$6,0))</f>
        <v>3.3900331146246399</v>
      </c>
      <c r="R75" s="194"/>
      <c r="W75" s="185" t="str">
        <f t="shared" ref="W75:W78" si="10">O75</f>
        <v>CEQASD</v>
      </c>
      <c r="X75" s="186"/>
      <c r="Y75" s="185" t="str">
        <f t="shared" ref="Y75:Z78" si="11">P75</f>
        <v>ASE Certification - D</v>
      </c>
      <c r="Z75" s="187">
        <f t="shared" si="11"/>
        <v>3.3900331146246399</v>
      </c>
    </row>
    <row r="76" spans="1:30" hidden="1" x14ac:dyDescent="0.2">
      <c r="A76" s="196"/>
      <c r="B76" s="175"/>
      <c r="H76"/>
      <c r="I76"/>
      <c r="J76"/>
      <c r="N76" s="192"/>
      <c r="O76" s="182" t="s">
        <v>423</v>
      </c>
      <c r="P76" s="182" t="s">
        <v>335</v>
      </c>
      <c r="Q76" s="193">
        <f>Q70*5</f>
        <v>0</v>
      </c>
      <c r="R76" s="194" t="s">
        <v>407</v>
      </c>
      <c r="W76" s="185" t="str">
        <f t="shared" si="10"/>
        <v>CEQAS1</v>
      </c>
      <c r="X76" s="186"/>
      <c r="Y76" s="185" t="str">
        <f t="shared" si="11"/>
        <v>ASE Certification - E</v>
      </c>
      <c r="Z76" s="187">
        <f t="shared" si="11"/>
        <v>0</v>
      </c>
    </row>
    <row r="77" spans="1:30" hidden="1" x14ac:dyDescent="0.2">
      <c r="A77" s="196"/>
      <c r="B77" s="175"/>
      <c r="H77"/>
      <c r="I77"/>
      <c r="J77"/>
      <c r="N77" s="192"/>
      <c r="O77" s="182" t="s">
        <v>424</v>
      </c>
      <c r="P77" s="182" t="s">
        <v>336</v>
      </c>
      <c r="Q77" s="193">
        <f>Q70*6</f>
        <v>0</v>
      </c>
      <c r="R77" s="194" t="s">
        <v>407</v>
      </c>
      <c r="W77" s="185" t="str">
        <f t="shared" si="10"/>
        <v>CEQAS2</v>
      </c>
      <c r="X77" s="186"/>
      <c r="Y77" s="185" t="str">
        <f t="shared" si="11"/>
        <v>ASE Certification - F</v>
      </c>
      <c r="Z77" s="187">
        <f t="shared" si="11"/>
        <v>0</v>
      </c>
    </row>
    <row r="78" spans="1:30" hidden="1" x14ac:dyDescent="0.2">
      <c r="A78" s="196"/>
      <c r="B78" s="175"/>
      <c r="H78"/>
      <c r="I78"/>
      <c r="J78"/>
      <c r="N78" s="192"/>
      <c r="O78" s="182" t="s">
        <v>425</v>
      </c>
      <c r="P78" s="182" t="s">
        <v>337</v>
      </c>
      <c r="Q78" s="193">
        <f>Q70*7</f>
        <v>0</v>
      </c>
      <c r="R78" s="194" t="s">
        <v>407</v>
      </c>
      <c r="W78" s="185" t="str">
        <f t="shared" si="10"/>
        <v>CEQAS3</v>
      </c>
      <c r="X78" s="186"/>
      <c r="Y78" s="185" t="str">
        <f t="shared" si="11"/>
        <v>ASE Certification - G</v>
      </c>
      <c r="Z78" s="187">
        <f t="shared" si="11"/>
        <v>0</v>
      </c>
    </row>
    <row r="79" spans="1:30" hidden="1" x14ac:dyDescent="0.2">
      <c r="B79" s="178"/>
      <c r="C79" s="176"/>
      <c r="D79" s="175"/>
      <c r="E79" s="199"/>
      <c r="F79" s="175"/>
      <c r="G79" s="175"/>
      <c r="H79" s="236"/>
      <c r="I79" s="237"/>
    </row>
    <row r="80" spans="1:30" s="197" customFormat="1" x14ac:dyDescent="0.2">
      <c r="A80" s="173" t="s">
        <v>413</v>
      </c>
      <c r="B80" s="190"/>
      <c r="C80" s="190"/>
      <c r="D80" s="190"/>
      <c r="E80" s="195"/>
      <c r="F80" s="190"/>
      <c r="G80" s="190"/>
      <c r="H80" s="236"/>
      <c r="I80" s="237"/>
      <c r="J80" s="190"/>
      <c r="K80" s="235"/>
      <c r="M80" s="190"/>
      <c r="N80" s="140"/>
      <c r="O80" s="139"/>
      <c r="P80" s="139"/>
      <c r="Q80" s="140"/>
      <c r="R80" s="140"/>
      <c r="S80" s="140"/>
      <c r="T80" s="140"/>
      <c r="U80" s="140"/>
      <c r="V80" s="190"/>
      <c r="W80" s="116"/>
      <c r="X80" s="117"/>
      <c r="Y80" s="116"/>
      <c r="Z80" s="117"/>
      <c r="AA80" s="117"/>
      <c r="AB80" s="116"/>
      <c r="AC80" s="136"/>
      <c r="AD80" s="136"/>
    </row>
    <row r="81" spans="1:30" s="197" customFormat="1" x14ac:dyDescent="0.2">
      <c r="A81" s="101" t="s">
        <v>211</v>
      </c>
      <c r="B81" s="190"/>
      <c r="C81" s="190"/>
      <c r="D81" s="190"/>
      <c r="E81" s="195"/>
      <c r="F81" s="190"/>
      <c r="G81" s="190"/>
      <c r="H81" s="236"/>
      <c r="I81" s="237"/>
      <c r="J81" s="190"/>
      <c r="K81" s="235"/>
      <c r="M81" s="190"/>
      <c r="N81" s="140"/>
      <c r="O81" s="139"/>
      <c r="P81" s="139"/>
      <c r="Q81" s="140"/>
      <c r="R81" s="140"/>
      <c r="S81" s="140"/>
      <c r="T81" s="140"/>
      <c r="U81" s="140"/>
      <c r="V81" s="190"/>
      <c r="W81" s="116"/>
      <c r="X81" s="117"/>
      <c r="Y81" s="116"/>
      <c r="Z81" s="117"/>
      <c r="AA81" s="117"/>
      <c r="AB81" s="116"/>
      <c r="AC81" s="136"/>
      <c r="AD81" s="136"/>
    </row>
    <row r="82" spans="1:30" s="197" customFormat="1" x14ac:dyDescent="0.2">
      <c r="A82" s="175" t="s">
        <v>102</v>
      </c>
      <c r="B82" s="190"/>
      <c r="C82" s="190"/>
      <c r="D82" s="190"/>
      <c r="E82" s="195"/>
      <c r="F82" s="190"/>
      <c r="G82" s="190"/>
      <c r="H82" s="236"/>
      <c r="I82" s="237"/>
      <c r="J82" s="190"/>
      <c r="K82" s="235"/>
      <c r="M82" s="190"/>
      <c r="N82" s="140"/>
      <c r="O82" s="139"/>
      <c r="P82" s="139"/>
      <c r="Q82" s="140"/>
      <c r="R82" s="140"/>
      <c r="S82" s="140"/>
      <c r="T82" s="140"/>
      <c r="U82" s="140"/>
      <c r="V82" s="190"/>
      <c r="W82" s="116"/>
      <c r="X82" s="117"/>
      <c r="Y82" s="116"/>
      <c r="Z82" s="117"/>
      <c r="AA82" s="117"/>
      <c r="AB82" s="116"/>
      <c r="AC82" s="136"/>
      <c r="AD82" s="136"/>
    </row>
    <row r="83" spans="1:30" s="197" customFormat="1" x14ac:dyDescent="0.2">
      <c r="A83" s="175" t="s">
        <v>103</v>
      </c>
      <c r="B83" s="190"/>
      <c r="C83" s="190"/>
      <c r="D83" s="190"/>
      <c r="E83" s="195"/>
      <c r="F83" s="190"/>
      <c r="G83" s="190"/>
      <c r="H83" s="236"/>
      <c r="I83" s="237"/>
      <c r="J83" s="190"/>
      <c r="K83" s="235"/>
      <c r="M83" s="190"/>
      <c r="N83" s="140"/>
      <c r="O83" s="139"/>
      <c r="P83" s="139"/>
      <c r="Q83" s="140"/>
      <c r="R83" s="140"/>
      <c r="S83" s="140"/>
      <c r="T83" s="140"/>
      <c r="U83" s="140"/>
      <c r="V83" s="190"/>
      <c r="W83" s="116"/>
      <c r="X83" s="117"/>
      <c r="Y83" s="116"/>
      <c r="Z83" s="117"/>
      <c r="AA83" s="117"/>
      <c r="AB83" s="116"/>
      <c r="AC83" s="136"/>
      <c r="AD83" s="136"/>
    </row>
    <row r="84" spans="1:30" s="197" customFormat="1" x14ac:dyDescent="0.2">
      <c r="A84" s="175" t="s">
        <v>104</v>
      </c>
      <c r="B84" s="190"/>
      <c r="C84" s="190"/>
      <c r="D84" s="190"/>
      <c r="E84" s="195"/>
      <c r="F84" s="190"/>
      <c r="G84" s="190"/>
      <c r="H84" s="236"/>
      <c r="I84" s="237"/>
      <c r="J84" s="190"/>
      <c r="K84" s="235"/>
      <c r="M84" s="190"/>
      <c r="N84" s="140"/>
      <c r="O84" s="139"/>
      <c r="P84" s="139"/>
      <c r="Q84" s="140"/>
      <c r="R84" s="140"/>
      <c r="S84" s="140"/>
      <c r="T84" s="140"/>
      <c r="U84" s="140"/>
      <c r="V84" s="190"/>
      <c r="W84" s="116"/>
      <c r="X84" s="117"/>
      <c r="Y84" s="116"/>
      <c r="Z84" s="117"/>
      <c r="AA84" s="117"/>
      <c r="AB84" s="116"/>
      <c r="AC84" s="136"/>
      <c r="AD84" s="136"/>
    </row>
    <row r="85" spans="1:30" s="197" customFormat="1" x14ac:dyDescent="0.2">
      <c r="A85" s="175" t="s">
        <v>439</v>
      </c>
      <c r="B85" s="190"/>
      <c r="C85" s="190"/>
      <c r="D85" s="190"/>
      <c r="E85" s="195"/>
      <c r="F85" s="190"/>
      <c r="G85" s="190"/>
      <c r="H85" s="236"/>
      <c r="I85" s="237"/>
      <c r="J85" s="190"/>
      <c r="K85" s="235"/>
      <c r="M85" s="190"/>
      <c r="N85" s="140"/>
      <c r="O85" s="139"/>
      <c r="P85" s="139"/>
      <c r="Q85" s="140"/>
      <c r="R85" s="140"/>
      <c r="S85" s="140"/>
      <c r="T85" s="140"/>
      <c r="U85" s="140"/>
      <c r="V85" s="190"/>
      <c r="W85" s="116"/>
      <c r="X85" s="117"/>
      <c r="Y85" s="116"/>
      <c r="Z85" s="117"/>
      <c r="AA85" s="117"/>
      <c r="AB85" s="116"/>
      <c r="AC85" s="136"/>
      <c r="AD85" s="136"/>
    </row>
    <row r="86" spans="1:30" s="197" customFormat="1" x14ac:dyDescent="0.2">
      <c r="A86" s="196" t="s">
        <v>294</v>
      </c>
      <c r="B86" s="175" t="str">
        <f>"If an employee shows proof of successfully passing any ten (10) of the ASE tests: "&amp;TEXT(Q86,"$#,##0.000")&amp;"/hour"</f>
        <v>If an employee shows proof of successfully passing any ten (10) of the ASE tests: $0.878/hour</v>
      </c>
      <c r="C86" s="190"/>
      <c r="D86" s="190"/>
      <c r="E86" s="195"/>
      <c r="F86" s="190"/>
      <c r="G86" s="190"/>
      <c r="H86"/>
      <c r="I86"/>
      <c r="J86"/>
      <c r="K86" s="235"/>
      <c r="M86" s="190"/>
      <c r="N86" s="140" t="s">
        <v>377</v>
      </c>
      <c r="O86" s="139" t="s">
        <v>331</v>
      </c>
      <c r="P86" s="139" t="s">
        <v>327</v>
      </c>
      <c r="Q86" s="147">
        <v>0.87780000000000002</v>
      </c>
      <c r="R86" s="140"/>
      <c r="S86" s="140"/>
      <c r="T86" s="140"/>
      <c r="U86" s="140"/>
      <c r="V86" s="190"/>
      <c r="W86" s="116" t="str">
        <f>O86</f>
        <v>CEQASA</v>
      </c>
      <c r="X86" s="117"/>
      <c r="Y86" s="116" t="str">
        <f t="shared" ref="Y86:Z88" si="12">P86</f>
        <v>ASE Certification - A</v>
      </c>
      <c r="Z86" s="123">
        <f t="shared" si="12"/>
        <v>0.87780000000000002</v>
      </c>
      <c r="AA86" s="117"/>
      <c r="AB86" s="116"/>
      <c r="AC86" s="136"/>
      <c r="AD86" s="136"/>
    </row>
    <row r="87" spans="1:30" s="197" customFormat="1" x14ac:dyDescent="0.2">
      <c r="A87" s="196" t="s">
        <v>295</v>
      </c>
      <c r="B87" s="175" t="str">
        <f>"If an employee shows proof of successfully passing any twelve (12) of the ASE tests: "&amp;TEXT(Q87,"$#,###.000")&amp;"/hour"</f>
        <v>If an employee shows proof of successfully passing any twelve (12) of the ASE tests: $1.756/hour</v>
      </c>
      <c r="C87" s="190"/>
      <c r="D87" s="190"/>
      <c r="E87" s="195"/>
      <c r="F87" s="190"/>
      <c r="G87" s="190"/>
      <c r="H87" s="236"/>
      <c r="I87" s="237"/>
      <c r="J87" s="190"/>
      <c r="K87" s="235"/>
      <c r="M87" s="190"/>
      <c r="N87" s="140" t="s">
        <v>377</v>
      </c>
      <c r="O87" s="139" t="s">
        <v>332</v>
      </c>
      <c r="P87" s="139" t="s">
        <v>328</v>
      </c>
      <c r="Q87" s="147">
        <v>1.7556</v>
      </c>
      <c r="R87" s="140"/>
      <c r="S87" s="140"/>
      <c r="T87" s="140"/>
      <c r="U87" s="140"/>
      <c r="V87" s="190"/>
      <c r="W87" s="116" t="str">
        <f>O87</f>
        <v>CEQASB</v>
      </c>
      <c r="X87" s="117"/>
      <c r="Y87" s="116" t="str">
        <f t="shared" si="12"/>
        <v>ASE Certification - B</v>
      </c>
      <c r="Z87" s="123">
        <f t="shared" si="12"/>
        <v>1.7556</v>
      </c>
      <c r="AA87" s="117"/>
      <c r="AB87" s="116"/>
      <c r="AC87" s="136"/>
      <c r="AD87" s="136"/>
    </row>
    <row r="88" spans="1:30" s="197" customFormat="1" x14ac:dyDescent="0.2">
      <c r="A88" s="196" t="s">
        <v>296</v>
      </c>
      <c r="B88" s="175" t="str">
        <f>"If an employee shows proof of successfully passing any fourteen (14) of the ASE tests: "&amp;TEXT(Q88,"$#,###.000")&amp;"/hour"</f>
        <v>If an employee shows proof of successfully passing any fourteen (14) of the ASE tests: $2.633/hour</v>
      </c>
      <c r="C88" s="190"/>
      <c r="D88" s="190"/>
      <c r="E88" s="195"/>
      <c r="F88" s="190"/>
      <c r="G88" s="190"/>
      <c r="H88" s="236"/>
      <c r="I88" s="237"/>
      <c r="J88" s="190"/>
      <c r="K88" s="235"/>
      <c r="M88" s="190"/>
      <c r="N88" s="140" t="s">
        <v>377</v>
      </c>
      <c r="O88" s="139" t="s">
        <v>333</v>
      </c>
      <c r="P88" s="139" t="s">
        <v>329</v>
      </c>
      <c r="Q88" s="147">
        <v>2.6334</v>
      </c>
      <c r="R88" s="140"/>
      <c r="S88" s="140"/>
      <c r="T88" s="140"/>
      <c r="U88" s="140"/>
      <c r="V88" s="190"/>
      <c r="W88" s="116" t="str">
        <f>O88</f>
        <v>CEQASC</v>
      </c>
      <c r="X88" s="117"/>
      <c r="Y88" s="116" t="str">
        <f t="shared" si="12"/>
        <v>ASE Certification - C</v>
      </c>
      <c r="Z88" s="123">
        <f t="shared" si="12"/>
        <v>2.6334</v>
      </c>
      <c r="AA88" s="117"/>
      <c r="AB88" s="116"/>
      <c r="AC88" s="136"/>
      <c r="AD88" s="136"/>
    </row>
    <row r="89" spans="1:30" s="197" customFormat="1" x14ac:dyDescent="0.2">
      <c r="A89"/>
      <c r="B89"/>
      <c r="C89"/>
      <c r="D89"/>
      <c r="E89"/>
      <c r="F89" s="190"/>
      <c r="G89" s="190"/>
      <c r="H89" s="226"/>
      <c r="I89" s="237"/>
      <c r="J89" s="190"/>
      <c r="K89" s="235"/>
      <c r="M89" s="190"/>
      <c r="N89" s="140"/>
      <c r="O89" s="139"/>
      <c r="P89" s="139"/>
      <c r="Q89" s="140"/>
      <c r="R89" s="140"/>
      <c r="S89" s="140"/>
      <c r="T89" s="140"/>
      <c r="U89" s="140"/>
      <c r="V89" s="190"/>
      <c r="W89" s="116"/>
      <c r="X89" s="117"/>
      <c r="Y89" s="116"/>
      <c r="Z89" s="117"/>
      <c r="AA89" s="117"/>
      <c r="AB89" s="116"/>
      <c r="AC89" s="136"/>
      <c r="AD89" s="136"/>
    </row>
    <row r="90" spans="1:30" s="197" customFormat="1" x14ac:dyDescent="0.2">
      <c r="A90"/>
      <c r="C90" s="176" t="s">
        <v>116</v>
      </c>
      <c r="D90" s="175"/>
      <c r="E90" s="175" t="s">
        <v>117</v>
      </c>
      <c r="F90" s="175"/>
      <c r="H90" s="226"/>
      <c r="I90" s="226"/>
      <c r="J90" s="226"/>
      <c r="M90" s="190"/>
      <c r="N90" s="140"/>
      <c r="O90" s="139"/>
      <c r="P90" s="139"/>
      <c r="Q90" s="140"/>
      <c r="R90" s="140"/>
      <c r="S90" s="140"/>
      <c r="T90" s="140"/>
      <c r="U90" s="140"/>
      <c r="V90" s="190"/>
      <c r="W90" s="116"/>
      <c r="X90" s="117"/>
      <c r="Y90" s="116"/>
      <c r="Z90" s="117"/>
      <c r="AA90" s="117"/>
      <c r="AB90" s="116"/>
      <c r="AC90" s="136"/>
      <c r="AD90" s="136"/>
    </row>
    <row r="91" spans="1:30" s="197" customFormat="1" x14ac:dyDescent="0.2">
      <c r="A91"/>
      <c r="C91" s="176" t="s">
        <v>118</v>
      </c>
      <c r="D91" s="175"/>
      <c r="E91" s="175" t="s">
        <v>119</v>
      </c>
      <c r="F91" s="175"/>
      <c r="H91" s="226"/>
      <c r="I91" s="226"/>
      <c r="J91" s="226"/>
      <c r="M91" s="190"/>
      <c r="N91" s="140"/>
      <c r="O91" s="139"/>
      <c r="P91" s="139"/>
      <c r="Q91" s="140"/>
      <c r="R91" s="140"/>
      <c r="S91" s="140"/>
      <c r="T91" s="140"/>
      <c r="U91" s="140"/>
      <c r="V91" s="190"/>
      <c r="W91" s="116" t="s">
        <v>455</v>
      </c>
      <c r="X91" s="117"/>
      <c r="Y91" s="250" t="s">
        <v>458</v>
      </c>
      <c r="Z91" s="123">
        <v>0.878</v>
      </c>
      <c r="AA91" s="117"/>
      <c r="AB91" s="116"/>
      <c r="AC91" s="136"/>
      <c r="AD91" s="136"/>
    </row>
    <row r="92" spans="1:30" s="197" customFormat="1" x14ac:dyDescent="0.2">
      <c r="A92"/>
      <c r="C92" s="176" t="s">
        <v>120</v>
      </c>
      <c r="D92" s="175"/>
      <c r="E92" s="175" t="s">
        <v>121</v>
      </c>
      <c r="F92" s="175"/>
      <c r="H92" s="226"/>
      <c r="I92" s="226"/>
      <c r="J92" s="226"/>
      <c r="M92" s="190"/>
      <c r="N92" s="140"/>
      <c r="O92" s="139"/>
      <c r="P92" s="139"/>
      <c r="Q92" s="140"/>
      <c r="R92" s="140"/>
      <c r="S92" s="140"/>
      <c r="T92" s="140"/>
      <c r="U92" s="140"/>
      <c r="V92" s="190"/>
      <c r="W92" s="116" t="s">
        <v>456</v>
      </c>
      <c r="X92" s="117"/>
      <c r="Y92" s="250" t="s">
        <v>459</v>
      </c>
      <c r="Z92" s="123">
        <v>1.756</v>
      </c>
      <c r="AA92" s="117"/>
      <c r="AB92" s="116"/>
      <c r="AC92" s="136"/>
      <c r="AD92" s="136"/>
    </row>
    <row r="93" spans="1:30" s="197" customFormat="1" x14ac:dyDescent="0.2">
      <c r="A93"/>
      <c r="C93" s="176" t="s">
        <v>122</v>
      </c>
      <c r="D93" s="175"/>
      <c r="E93" s="175" t="s">
        <v>123</v>
      </c>
      <c r="F93" s="175"/>
      <c r="H93" s="226"/>
      <c r="I93" s="226"/>
      <c r="J93" s="226"/>
      <c r="M93" s="190"/>
      <c r="N93" s="140"/>
      <c r="O93" s="139"/>
      <c r="P93" s="139"/>
      <c r="Q93" s="140"/>
      <c r="R93" s="140"/>
      <c r="S93" s="140"/>
      <c r="T93" s="140"/>
      <c r="U93" s="140"/>
      <c r="V93" s="190"/>
      <c r="W93" s="116" t="s">
        <v>457</v>
      </c>
      <c r="X93" s="117"/>
      <c r="Y93" s="250" t="s">
        <v>460</v>
      </c>
      <c r="Z93" s="123">
        <v>2.633</v>
      </c>
      <c r="AA93" s="117"/>
      <c r="AB93" s="116"/>
      <c r="AC93" s="136"/>
      <c r="AD93" s="136"/>
    </row>
    <row r="94" spans="1:30" s="197" customFormat="1" x14ac:dyDescent="0.2">
      <c r="A94"/>
      <c r="C94" s="176" t="s">
        <v>124</v>
      </c>
      <c r="D94" s="175"/>
      <c r="E94" s="175" t="s">
        <v>125</v>
      </c>
      <c r="F94" s="175"/>
      <c r="H94" s="226"/>
      <c r="I94" s="226"/>
      <c r="J94" s="226"/>
      <c r="M94" s="190"/>
      <c r="N94" s="140"/>
      <c r="O94" s="139"/>
      <c r="P94" s="139"/>
      <c r="Q94" s="140"/>
      <c r="R94" s="140"/>
      <c r="S94" s="140"/>
      <c r="T94" s="140"/>
      <c r="U94" s="140"/>
      <c r="V94" s="190"/>
      <c r="W94" s="116"/>
      <c r="X94" s="117"/>
      <c r="Y94" s="116"/>
      <c r="Z94" s="117"/>
      <c r="AA94" s="117"/>
      <c r="AB94" s="116"/>
      <c r="AC94" s="136"/>
      <c r="AD94" s="136"/>
    </row>
    <row r="95" spans="1:30" s="197" customFormat="1" x14ac:dyDescent="0.2">
      <c r="A95"/>
      <c r="C95" s="176" t="s">
        <v>126</v>
      </c>
      <c r="D95" s="175"/>
      <c r="E95" s="175" t="s">
        <v>127</v>
      </c>
      <c r="F95" s="175"/>
      <c r="H95" s="226"/>
      <c r="I95" s="226"/>
      <c r="J95" s="226"/>
      <c r="M95" s="190"/>
      <c r="N95" s="140"/>
      <c r="O95" s="139"/>
      <c r="P95" s="139"/>
      <c r="Q95" s="140"/>
      <c r="R95" s="140"/>
      <c r="S95" s="140"/>
      <c r="T95" s="140"/>
      <c r="U95" s="140"/>
      <c r="V95" s="190"/>
      <c r="W95" s="116"/>
      <c r="X95" s="117"/>
      <c r="Y95" s="116"/>
      <c r="Z95" s="117"/>
      <c r="AA95" s="117"/>
      <c r="AB95" s="116"/>
      <c r="AC95" s="136"/>
      <c r="AD95" s="136"/>
    </row>
    <row r="96" spans="1:30" s="197" customFormat="1" x14ac:dyDescent="0.2">
      <c r="A96"/>
      <c r="C96" s="175" t="s">
        <v>128</v>
      </c>
      <c r="D96" s="175"/>
      <c r="E96" s="175" t="s">
        <v>129</v>
      </c>
      <c r="F96" s="175"/>
      <c r="H96" s="226"/>
      <c r="I96" s="226"/>
      <c r="J96" s="226"/>
      <c r="M96" s="190"/>
      <c r="N96" s="140"/>
      <c r="O96" s="139"/>
      <c r="P96" s="139"/>
      <c r="Q96" s="140"/>
      <c r="R96" s="140"/>
      <c r="S96" s="140"/>
      <c r="T96" s="140"/>
      <c r="U96" s="140"/>
      <c r="V96" s="190"/>
      <c r="W96" s="116"/>
      <c r="X96" s="117"/>
      <c r="Y96" s="116"/>
      <c r="Z96" s="117"/>
      <c r="AA96" s="117"/>
      <c r="AB96" s="116"/>
      <c r="AC96" s="136"/>
      <c r="AD96" s="136"/>
    </row>
    <row r="97" spans="1:30" s="197" customFormat="1" x14ac:dyDescent="0.2">
      <c r="A97"/>
      <c r="C97" s="175" t="s">
        <v>130</v>
      </c>
      <c r="D97" s="175"/>
      <c r="E97" s="175" t="s">
        <v>131</v>
      </c>
      <c r="F97" s="175"/>
      <c r="H97" s="226"/>
      <c r="I97" s="226"/>
      <c r="J97" s="226"/>
      <c r="M97" s="190"/>
      <c r="N97" s="140"/>
      <c r="O97" s="139"/>
      <c r="P97" s="139"/>
      <c r="Q97" s="140"/>
      <c r="R97" s="140"/>
      <c r="S97" s="140"/>
      <c r="T97" s="140"/>
      <c r="U97" s="140"/>
      <c r="V97" s="190"/>
      <c r="W97" s="116"/>
      <c r="X97" s="117"/>
      <c r="Y97" s="116"/>
      <c r="Z97" s="117"/>
      <c r="AA97" s="117"/>
      <c r="AB97" s="116"/>
      <c r="AC97" s="136"/>
      <c r="AD97" s="136"/>
    </row>
    <row r="98" spans="1:30" s="197" customFormat="1" x14ac:dyDescent="0.2">
      <c r="A98"/>
      <c r="C98" s="175"/>
      <c r="D98" s="175"/>
      <c r="E98" s="175"/>
      <c r="F98" s="175"/>
      <c r="H98" s="226"/>
      <c r="I98" s="226"/>
      <c r="J98" s="226"/>
      <c r="M98" s="190"/>
      <c r="N98" s="140"/>
      <c r="O98" s="139"/>
      <c r="P98" s="139"/>
      <c r="Q98" s="140"/>
      <c r="R98" s="140"/>
      <c r="S98" s="140"/>
      <c r="T98" s="140"/>
      <c r="U98" s="140"/>
      <c r="V98" s="190"/>
      <c r="W98" s="116"/>
      <c r="X98" s="117"/>
      <c r="Y98" s="116"/>
      <c r="Z98" s="117"/>
      <c r="AA98" s="117"/>
      <c r="AB98" s="116"/>
      <c r="AC98" s="136"/>
      <c r="AD98" s="136"/>
    </row>
    <row r="99" spans="1:30" s="197" customFormat="1" x14ac:dyDescent="0.2">
      <c r="A99"/>
      <c r="C99" s="175" t="s">
        <v>132</v>
      </c>
      <c r="D99" s="175"/>
      <c r="E99" s="175" t="s">
        <v>133</v>
      </c>
      <c r="F99" s="175"/>
      <c r="H99" s="226"/>
      <c r="I99" s="226"/>
      <c r="J99" s="226"/>
      <c r="M99" s="190"/>
      <c r="N99" s="140"/>
      <c r="O99" s="139"/>
      <c r="P99" s="139"/>
      <c r="Q99" s="140"/>
      <c r="R99" s="140"/>
      <c r="S99" s="140"/>
      <c r="T99" s="140"/>
      <c r="U99" s="140"/>
      <c r="V99" s="190"/>
      <c r="W99" s="116"/>
      <c r="X99" s="117"/>
      <c r="Y99" s="116"/>
      <c r="Z99" s="117"/>
      <c r="AA99" s="117"/>
      <c r="AB99" s="116"/>
      <c r="AC99" s="136"/>
      <c r="AD99" s="136"/>
    </row>
    <row r="100" spans="1:30" s="197" customFormat="1" x14ac:dyDescent="0.2">
      <c r="A100"/>
      <c r="C100" s="175" t="s">
        <v>134</v>
      </c>
      <c r="D100" s="175"/>
      <c r="E100" s="175" t="s">
        <v>135</v>
      </c>
      <c r="F100" s="175"/>
      <c r="H100" s="226"/>
      <c r="I100" s="226"/>
      <c r="J100" s="226"/>
      <c r="M100" s="190"/>
      <c r="N100" s="140"/>
      <c r="O100" s="139"/>
      <c r="P100" s="139"/>
      <c r="Q100" s="140"/>
      <c r="R100" s="140"/>
      <c r="S100" s="140"/>
      <c r="T100" s="140"/>
      <c r="U100" s="140"/>
      <c r="V100" s="190"/>
      <c r="W100" s="116"/>
      <c r="X100" s="117"/>
      <c r="Y100" s="116"/>
      <c r="Z100" s="117"/>
      <c r="AA100" s="117"/>
      <c r="AB100" s="116"/>
      <c r="AC100" s="136"/>
      <c r="AD100" s="136"/>
    </row>
    <row r="101" spans="1:30" s="197" customFormat="1" x14ac:dyDescent="0.2">
      <c r="A101"/>
      <c r="C101" s="175" t="s">
        <v>136</v>
      </c>
      <c r="D101" s="175"/>
      <c r="E101" s="175" t="s">
        <v>137</v>
      </c>
      <c r="F101" s="175"/>
      <c r="H101" s="226"/>
      <c r="I101" s="226"/>
      <c r="J101" s="226"/>
      <c r="M101" s="190"/>
      <c r="N101" s="140"/>
      <c r="O101" s="139"/>
      <c r="P101" s="139"/>
      <c r="Q101" s="140"/>
      <c r="R101" s="140"/>
      <c r="S101" s="140"/>
      <c r="T101" s="140"/>
      <c r="U101" s="140"/>
      <c r="V101" s="190"/>
      <c r="W101" s="116"/>
      <c r="X101" s="117"/>
      <c r="Y101" s="116"/>
      <c r="Z101" s="117"/>
      <c r="AA101" s="117"/>
      <c r="AB101" s="116"/>
      <c r="AC101" s="136"/>
      <c r="AD101" s="136"/>
    </row>
    <row r="102" spans="1:30" s="197" customFormat="1" x14ac:dyDescent="0.2">
      <c r="A102"/>
      <c r="B102" s="178"/>
      <c r="C102" s="175"/>
      <c r="D102" s="175"/>
      <c r="E102" s="175" t="s">
        <v>138</v>
      </c>
      <c r="F102" s="228"/>
      <c r="G102" s="228"/>
      <c r="H102" s="238"/>
      <c r="I102" s="238"/>
      <c r="J102" s="238"/>
      <c r="M102" s="190"/>
      <c r="N102" s="140"/>
      <c r="O102" s="139"/>
      <c r="P102" s="139"/>
      <c r="Q102" s="140"/>
      <c r="R102" s="140"/>
      <c r="S102" s="140"/>
      <c r="T102" s="140"/>
      <c r="U102" s="140"/>
      <c r="V102" s="190"/>
      <c r="W102" s="116"/>
      <c r="X102" s="117"/>
      <c r="Y102" s="116"/>
      <c r="Z102" s="117"/>
      <c r="AA102" s="117"/>
      <c r="AB102" s="116"/>
      <c r="AC102" s="136"/>
      <c r="AD102" s="136"/>
    </row>
    <row r="103" spans="1:30" s="197" customFormat="1" x14ac:dyDescent="0.2">
      <c r="A103"/>
      <c r="B103" s="178"/>
      <c r="C103" s="175"/>
      <c r="D103" s="175"/>
      <c r="E103" s="175"/>
      <c r="F103" s="228"/>
      <c r="G103" s="228"/>
      <c r="H103" s="238"/>
      <c r="I103" s="238"/>
      <c r="J103" s="238"/>
      <c r="M103" s="190"/>
      <c r="N103" s="140"/>
      <c r="O103" s="139"/>
      <c r="P103" s="139"/>
      <c r="Q103" s="140"/>
      <c r="R103" s="140"/>
      <c r="S103" s="140"/>
      <c r="T103" s="140"/>
      <c r="U103" s="140"/>
      <c r="V103" s="190"/>
      <c r="W103" s="116"/>
      <c r="X103" s="117"/>
      <c r="Y103" s="116"/>
      <c r="Z103" s="117"/>
      <c r="AA103" s="117"/>
      <c r="AB103" s="116"/>
      <c r="AC103" s="136"/>
      <c r="AD103" s="136"/>
    </row>
    <row r="104" spans="1:30" s="197" customFormat="1" x14ac:dyDescent="0.2">
      <c r="A104"/>
      <c r="B104" s="180" t="s">
        <v>285</v>
      </c>
      <c r="C104" s="175" t="s">
        <v>286</v>
      </c>
      <c r="E104" s="198"/>
      <c r="F104" s="228"/>
      <c r="G104" s="228"/>
      <c r="H104" s="238"/>
      <c r="I104" s="238"/>
      <c r="J104" s="238"/>
      <c r="M104" s="190"/>
      <c r="N104" s="140"/>
      <c r="O104" s="139"/>
      <c r="P104" s="139"/>
      <c r="Q104" s="140"/>
      <c r="R104" s="140"/>
      <c r="S104" s="140"/>
      <c r="T104" s="140"/>
      <c r="U104" s="140"/>
      <c r="V104" s="190"/>
      <c r="W104" s="116"/>
      <c r="X104" s="117"/>
      <c r="Y104" s="116"/>
      <c r="Z104" s="117"/>
      <c r="AA104" s="117"/>
      <c r="AB104" s="116"/>
      <c r="AC104" s="136"/>
      <c r="AD104" s="136"/>
    </row>
    <row r="105" spans="1:30" s="197" customFormat="1" x14ac:dyDescent="0.2">
      <c r="A105"/>
      <c r="B105" s="180" t="s">
        <v>285</v>
      </c>
      <c r="C105" s="175" t="s">
        <v>287</v>
      </c>
      <c r="E105" s="198"/>
      <c r="F105" s="228"/>
      <c r="G105" s="228"/>
      <c r="H105" s="238"/>
      <c r="I105" s="238"/>
      <c r="J105" s="238"/>
      <c r="M105" s="190"/>
      <c r="N105" s="140"/>
      <c r="O105" s="139"/>
      <c r="P105" s="139"/>
      <c r="Q105" s="140"/>
      <c r="R105" s="140"/>
      <c r="S105" s="140"/>
      <c r="T105" s="140"/>
      <c r="U105" s="140"/>
      <c r="V105" s="190"/>
      <c r="W105" s="116"/>
      <c r="X105" s="117"/>
      <c r="Y105" s="116"/>
      <c r="Z105" s="117"/>
      <c r="AA105" s="117"/>
      <c r="AB105" s="116"/>
      <c r="AC105" s="136"/>
      <c r="AD105" s="136"/>
    </row>
    <row r="106" spans="1:30" s="197" customFormat="1" x14ac:dyDescent="0.2">
      <c r="A106"/>
      <c r="B106" s="180"/>
      <c r="C106" s="175" t="s">
        <v>141</v>
      </c>
      <c r="E106" s="198"/>
      <c r="F106" s="228"/>
      <c r="G106" s="228"/>
      <c r="H106" s="238"/>
      <c r="I106" s="238"/>
      <c r="J106" s="238"/>
      <c r="M106" s="190"/>
      <c r="N106" s="140"/>
      <c r="O106" s="139"/>
      <c r="P106" s="139"/>
      <c r="Q106" s="140"/>
      <c r="R106" s="140"/>
      <c r="S106" s="140"/>
      <c r="T106" s="140"/>
      <c r="U106" s="140"/>
      <c r="V106" s="190"/>
      <c r="W106" s="116"/>
      <c r="X106" s="117"/>
      <c r="Y106" s="116"/>
      <c r="Z106" s="117"/>
      <c r="AA106" s="117"/>
      <c r="AB106" s="116"/>
      <c r="AC106" s="136"/>
      <c r="AD106" s="136"/>
    </row>
    <row r="107" spans="1:30" s="197" customFormat="1" x14ac:dyDescent="0.2">
      <c r="A107"/>
      <c r="B107" s="180" t="s">
        <v>285</v>
      </c>
      <c r="C107" s="175" t="s">
        <v>288</v>
      </c>
      <c r="E107" s="198"/>
      <c r="F107" s="228"/>
      <c r="G107" s="228"/>
      <c r="H107" s="238"/>
      <c r="I107" s="238"/>
      <c r="J107" s="238"/>
      <c r="M107" s="190"/>
      <c r="N107" s="140"/>
      <c r="O107" s="139"/>
      <c r="P107" s="139"/>
      <c r="Q107" s="140"/>
      <c r="R107" s="140"/>
      <c r="S107" s="140"/>
      <c r="T107" s="140"/>
      <c r="U107" s="140"/>
      <c r="V107" s="190"/>
      <c r="W107" s="116"/>
      <c r="X107" s="117"/>
      <c r="Y107" s="116"/>
      <c r="Z107" s="117"/>
      <c r="AA107" s="117"/>
      <c r="AB107" s="116"/>
      <c r="AC107" s="136"/>
      <c r="AD107" s="136"/>
    </row>
    <row r="108" spans="1:30" s="197" customFormat="1" x14ac:dyDescent="0.2">
      <c r="A108"/>
      <c r="B108" s="180" t="s">
        <v>285</v>
      </c>
      <c r="C108" s="175" t="s">
        <v>289</v>
      </c>
      <c r="E108" s="198"/>
      <c r="F108" s="228"/>
      <c r="G108" s="228"/>
      <c r="H108" s="238"/>
      <c r="I108" s="238"/>
      <c r="J108" s="238"/>
      <c r="M108" s="190"/>
      <c r="N108" s="140"/>
      <c r="O108" s="139"/>
      <c r="P108" s="139"/>
      <c r="Q108" s="140"/>
      <c r="R108" s="140"/>
      <c r="S108" s="140"/>
      <c r="T108" s="140"/>
      <c r="U108" s="140"/>
      <c r="V108" s="190"/>
      <c r="W108" s="116"/>
      <c r="X108" s="117"/>
      <c r="Y108" s="116"/>
      <c r="Z108" s="117"/>
      <c r="AA108" s="117"/>
      <c r="AB108" s="116"/>
      <c r="AC108" s="136"/>
      <c r="AD108" s="136"/>
    </row>
    <row r="109" spans="1:30" s="197" customFormat="1" x14ac:dyDescent="0.2">
      <c r="A109"/>
      <c r="B109" s="180" t="s">
        <v>285</v>
      </c>
      <c r="C109" s="175" t="s">
        <v>290</v>
      </c>
      <c r="E109" s="198"/>
      <c r="F109" s="228"/>
      <c r="G109" s="228"/>
      <c r="H109" s="238"/>
      <c r="I109" s="238"/>
      <c r="J109" s="238"/>
      <c r="M109" s="190"/>
      <c r="N109" s="140"/>
      <c r="O109" s="139"/>
      <c r="P109" s="139"/>
      <c r="Q109" s="140"/>
      <c r="R109" s="140"/>
      <c r="S109" s="140"/>
      <c r="T109" s="140"/>
      <c r="U109" s="140"/>
      <c r="V109" s="190"/>
      <c r="W109" s="116"/>
      <c r="X109" s="117"/>
      <c r="Y109" s="116"/>
      <c r="Z109" s="117"/>
      <c r="AA109" s="117"/>
      <c r="AB109" s="116"/>
      <c r="AC109" s="136"/>
      <c r="AD109" s="136"/>
    </row>
    <row r="110" spans="1:30" s="197" customFormat="1" x14ac:dyDescent="0.2">
      <c r="A110"/>
      <c r="B110" s="180" t="s">
        <v>285</v>
      </c>
      <c r="C110" s="175" t="s">
        <v>440</v>
      </c>
      <c r="E110" s="198"/>
      <c r="F110" s="175"/>
      <c r="G110" s="175"/>
      <c r="H110" s="226"/>
      <c r="I110" s="226"/>
      <c r="J110" s="226"/>
      <c r="M110" s="190"/>
      <c r="N110" s="140"/>
      <c r="O110" s="139"/>
      <c r="P110" s="139"/>
      <c r="Q110" s="140"/>
      <c r="R110" s="140"/>
      <c r="S110" s="140"/>
      <c r="T110" s="140"/>
      <c r="U110" s="140"/>
      <c r="V110" s="190"/>
      <c r="W110" s="116"/>
      <c r="X110" s="117"/>
      <c r="Y110" s="116"/>
      <c r="Z110" s="117"/>
      <c r="AA110" s="117"/>
      <c r="AB110" s="116"/>
      <c r="AC110" s="136"/>
      <c r="AD110" s="136"/>
    </row>
    <row r="111" spans="1:30" x14ac:dyDescent="0.2">
      <c r="A111"/>
      <c r="B111" s="180" t="s">
        <v>285</v>
      </c>
      <c r="C111" s="175" t="s">
        <v>292</v>
      </c>
      <c r="D111" s="197"/>
      <c r="E111" s="199"/>
      <c r="F111" s="175"/>
      <c r="G111" s="175"/>
      <c r="H111" s="226"/>
      <c r="I111" s="226"/>
      <c r="J111" s="226"/>
      <c r="Q111" s="147"/>
    </row>
    <row r="112" spans="1:30" x14ac:dyDescent="0.2">
      <c r="A112"/>
      <c r="B112" s="180"/>
      <c r="C112" s="175"/>
      <c r="D112" s="197"/>
      <c r="E112" s="199"/>
      <c r="F112" s="175"/>
      <c r="G112" s="175"/>
      <c r="H112" s="226"/>
      <c r="I112" s="226"/>
      <c r="J112" s="226"/>
      <c r="Q112" s="147"/>
    </row>
    <row r="113" spans="1:26" x14ac:dyDescent="0.2">
      <c r="A113" s="173" t="s">
        <v>147</v>
      </c>
      <c r="Q113" s="147"/>
    </row>
    <row r="114" spans="1:26" x14ac:dyDescent="0.2">
      <c r="A114" s="175" t="str">
        <f>"Automotive Mechanics regularly assigned and working on an 'outside truck' shall be paid a premium of  "&amp;TEXT(Q114,"$0.000")&amp;" per hour on all compensated"</f>
        <v>Automotive Mechanics regularly assigned and working on an 'outside truck' shall be paid a premium of  $1.123 per hour on all compensated</v>
      </c>
      <c r="B114" s="178"/>
      <c r="C114" s="175"/>
      <c r="D114" s="175"/>
      <c r="E114" s="199"/>
      <c r="F114" s="175"/>
      <c r="G114" s="175"/>
      <c r="I114"/>
      <c r="J114"/>
      <c r="K114" s="230"/>
      <c r="N114" s="140" t="s">
        <v>377</v>
      </c>
      <c r="O114" s="139" t="s">
        <v>353</v>
      </c>
      <c r="P114" s="139" t="s">
        <v>354</v>
      </c>
      <c r="Q114" s="147">
        <f>IF($N114="Y",VLOOKUP($O114,Data2023,Q$6,0)*PercIncr2024,VLOOKUP($O114,Data2023,Q$6,0))</f>
        <v>1.1232866452499994</v>
      </c>
      <c r="W114" s="116" t="str">
        <f>O114</f>
        <v>CEQOTR</v>
      </c>
      <c r="Y114" s="116" t="str">
        <f>P114</f>
        <v>TL-Outside Truck Premium-CEQ</v>
      </c>
      <c r="Z114" s="123">
        <f>Q114</f>
        <v>1.1232866452499994</v>
      </c>
    </row>
    <row r="115" spans="1:26" x14ac:dyDescent="0.2">
      <c r="A115" s="175" t="str">
        <f>"hours. Automotive Mechanics temporarily assigned on an 'outside truck' shall be paid a premium of "&amp;TEXT(Q114,"$0.000")&amp;" per hour for hours worked."</f>
        <v>hours. Automotive Mechanics temporarily assigned on an 'outside truck' shall be paid a premium of $1.123 per hour for hours worked.</v>
      </c>
      <c r="B115" s="178"/>
      <c r="C115" s="175"/>
      <c r="D115" s="175"/>
      <c r="E115" s="199"/>
      <c r="F115" s="175"/>
      <c r="G115" s="175"/>
      <c r="I115"/>
      <c r="J115"/>
      <c r="Q115" s="147"/>
    </row>
    <row r="116" spans="1:26" x14ac:dyDescent="0.2">
      <c r="A116" s="176"/>
      <c r="K116" s="230"/>
      <c r="Q116" s="147"/>
    </row>
    <row r="117" spans="1:26" x14ac:dyDescent="0.2">
      <c r="A117" s="173" t="s">
        <v>153</v>
      </c>
      <c r="B117" s="178"/>
      <c r="C117" s="175"/>
      <c r="D117" s="175"/>
      <c r="E117" s="199"/>
      <c r="F117" s="175"/>
      <c r="G117" s="175"/>
      <c r="H117" s="226"/>
      <c r="I117" s="226"/>
      <c r="J117" s="226"/>
      <c r="K117" s="230"/>
      <c r="Q117" s="147"/>
    </row>
    <row r="118" spans="1:26" x14ac:dyDescent="0.2">
      <c r="A118" s="190" t="s">
        <v>154</v>
      </c>
      <c r="B118" s="178"/>
      <c r="C118" s="175"/>
      <c r="D118" s="175"/>
      <c r="E118" s="199"/>
      <c r="F118" s="175"/>
      <c r="G118" s="175"/>
      <c r="H118" s="226"/>
      <c r="I118" s="226"/>
      <c r="J118" s="226"/>
      <c r="Q118" s="147"/>
    </row>
    <row r="119" spans="1:26" x14ac:dyDescent="0.2">
      <c r="A119" s="188" t="str">
        <f>TEXT(Q119,"$0.000")&amp;" per hour for all hours worked where a 'spotter' or a harness  is required to perform the job in a safe manner."</f>
        <v>$0.540 per hour for all hours worked where a 'spotter' or a harness  is required to perform the job in a safe manner.</v>
      </c>
      <c r="B119" s="239"/>
      <c r="J119" s="226"/>
      <c r="N119" s="140" t="s">
        <v>377</v>
      </c>
      <c r="O119" s="139" t="s">
        <v>355</v>
      </c>
      <c r="P119" s="139" t="s">
        <v>356</v>
      </c>
      <c r="Q119" s="147">
        <f>IF($N119="Y",VLOOKUP($O119,Data2023,Q$6,0)*PercIncr2024,VLOOKUP($O119,Data2023,Q$6,0))</f>
        <v>0.54047026085937488</v>
      </c>
      <c r="W119" s="116" t="str">
        <f>O119</f>
        <v>CEQCNF</v>
      </c>
      <c r="Y119" s="116" t="str">
        <f>P119</f>
        <v>TL-Confined Space Entry-CEQ</v>
      </c>
      <c r="Z119" s="123">
        <f>Q119</f>
        <v>0.54047026085937488</v>
      </c>
    </row>
    <row r="120" spans="1:26" x14ac:dyDescent="0.2">
      <c r="A120" s="176" t="s">
        <v>156</v>
      </c>
      <c r="Q120" s="147"/>
    </row>
    <row r="121" spans="1:26" x14ac:dyDescent="0.2">
      <c r="A121" s="176" t="s">
        <v>157</v>
      </c>
      <c r="Q121" s="147"/>
    </row>
    <row r="122" spans="1:26" x14ac:dyDescent="0.2">
      <c r="A122" s="176"/>
      <c r="B122" s="239"/>
      <c r="C122" s="239"/>
      <c r="K122" s="230"/>
      <c r="Q122" s="147"/>
    </row>
    <row r="123" spans="1:26" x14ac:dyDescent="0.2">
      <c r="A123" s="173" t="s">
        <v>158</v>
      </c>
      <c r="B123" s="229"/>
      <c r="Q123" s="147"/>
    </row>
    <row r="124" spans="1:26" x14ac:dyDescent="0.2">
      <c r="A124" s="190" t="s">
        <v>159</v>
      </c>
      <c r="B124" s="178"/>
      <c r="C124" s="240"/>
      <c r="D124" s="175"/>
      <c r="E124" s="199"/>
      <c r="F124" s="175"/>
      <c r="G124" s="175"/>
      <c r="I124" s="226"/>
      <c r="J124" s="226"/>
      <c r="Q124" s="147"/>
    </row>
    <row r="125" spans="1:26" x14ac:dyDescent="0.2">
      <c r="A125" s="180" t="s">
        <v>306</v>
      </c>
      <c r="B125" s="190" t="s">
        <v>441</v>
      </c>
      <c r="D125" s="175"/>
      <c r="E125" s="199"/>
      <c r="F125" s="175"/>
      <c r="G125" s="175"/>
      <c r="H125" s="226"/>
      <c r="I125" s="226"/>
      <c r="J125" s="226"/>
      <c r="Q125" s="147"/>
    </row>
    <row r="126" spans="1:26" x14ac:dyDescent="0.2">
      <c r="A126" s="180" t="s">
        <v>307</v>
      </c>
      <c r="B126" s="190" t="s">
        <v>310</v>
      </c>
      <c r="D126" s="228"/>
      <c r="E126" s="198"/>
      <c r="F126" s="228"/>
      <c r="G126" s="228"/>
      <c r="H126" s="238"/>
      <c r="I126" s="238"/>
      <c r="J126" s="238"/>
      <c r="Q126" s="147"/>
    </row>
    <row r="127" spans="1:26" x14ac:dyDescent="0.2">
      <c r="A127" s="180" t="s">
        <v>308</v>
      </c>
      <c r="B127" s="190" t="s">
        <v>311</v>
      </c>
      <c r="D127" s="228"/>
      <c r="E127" s="198"/>
      <c r="F127" s="228"/>
      <c r="G127" s="228"/>
      <c r="H127" s="238"/>
      <c r="I127" s="238"/>
      <c r="J127" s="238"/>
      <c r="Q127" s="147"/>
    </row>
    <row r="128" spans="1:26" x14ac:dyDescent="0.2">
      <c r="A128" s="180" t="s">
        <v>315</v>
      </c>
      <c r="B128" s="190" t="s">
        <v>312</v>
      </c>
      <c r="D128" s="228"/>
      <c r="E128" s="198"/>
      <c r="F128" s="228"/>
      <c r="G128" s="228"/>
      <c r="H128" s="238"/>
      <c r="I128" s="238"/>
      <c r="J128" s="238"/>
      <c r="Q128" s="147"/>
    </row>
    <row r="129" spans="1:26" x14ac:dyDescent="0.2">
      <c r="A129" s="180" t="s">
        <v>316</v>
      </c>
      <c r="B129" s="190" t="s">
        <v>313</v>
      </c>
      <c r="D129" s="228"/>
      <c r="E129" s="198"/>
      <c r="F129" s="228"/>
      <c r="G129" s="228"/>
      <c r="H129" s="238"/>
      <c r="I129" s="238"/>
      <c r="J129" s="238"/>
      <c r="Q129" s="147"/>
    </row>
    <row r="130" spans="1:26" x14ac:dyDescent="0.2">
      <c r="A130" s="241" t="s">
        <v>317</v>
      </c>
      <c r="B130" s="190" t="s">
        <v>314</v>
      </c>
      <c r="D130" s="228"/>
      <c r="E130" s="198"/>
      <c r="F130" s="228"/>
      <c r="G130" s="228"/>
      <c r="H130" s="238"/>
      <c r="I130" s="238"/>
      <c r="J130" s="238"/>
      <c r="Q130" s="147"/>
    </row>
    <row r="131" spans="1:26" x14ac:dyDescent="0.2">
      <c r="A131" s="175"/>
      <c r="B131" s="242"/>
      <c r="C131" s="228"/>
      <c r="D131" s="228"/>
      <c r="E131" s="198"/>
      <c r="F131" s="228"/>
      <c r="G131" s="228"/>
      <c r="H131" s="238"/>
      <c r="I131" s="238"/>
      <c r="J131" s="238"/>
      <c r="Q131" s="147"/>
    </row>
    <row r="132" spans="1:26" x14ac:dyDescent="0.2">
      <c r="A132" s="243" t="s">
        <v>408</v>
      </c>
      <c r="B132" s="242"/>
      <c r="C132" s="228"/>
      <c r="D132" s="228"/>
      <c r="E132" s="198"/>
      <c r="F132" s="228"/>
      <c r="G132" s="228"/>
      <c r="H132" s="238"/>
      <c r="I132" s="238"/>
      <c r="J132" s="238"/>
      <c r="Q132" s="147"/>
    </row>
    <row r="133" spans="1:26" x14ac:dyDescent="0.2">
      <c r="A133" s="176" t="s">
        <v>167</v>
      </c>
      <c r="B133" s="242"/>
      <c r="C133" s="228"/>
      <c r="D133" s="228"/>
      <c r="E133" s="198"/>
      <c r="F133" s="228"/>
      <c r="G133" s="228"/>
      <c r="H133" s="226"/>
      <c r="I133" s="226"/>
      <c r="J133" s="226"/>
      <c r="Q133" s="147"/>
    </row>
    <row r="134" spans="1:26" x14ac:dyDescent="0.2">
      <c r="A134" s="244"/>
      <c r="B134" s="178"/>
      <c r="C134" s="175"/>
      <c r="D134" s="175"/>
      <c r="E134" s="199"/>
      <c r="F134" s="175"/>
      <c r="G134" s="175"/>
      <c r="H134" s="226"/>
      <c r="I134" s="226"/>
      <c r="J134" s="226"/>
      <c r="Q134" s="147"/>
    </row>
    <row r="135" spans="1:26" x14ac:dyDescent="0.2">
      <c r="A135" s="243" t="s">
        <v>409</v>
      </c>
      <c r="B135" s="178"/>
      <c r="C135" s="175"/>
      <c r="D135" s="175"/>
      <c r="E135" s="199"/>
      <c r="F135" s="175"/>
      <c r="G135" s="175"/>
      <c r="H135" s="226"/>
      <c r="I135" s="226"/>
      <c r="J135" s="226"/>
      <c r="Q135" s="147"/>
    </row>
    <row r="136" spans="1:26" x14ac:dyDescent="0.2">
      <c r="A136" s="102" t="s">
        <v>218</v>
      </c>
      <c r="B136" s="178"/>
      <c r="C136" s="175"/>
      <c r="D136" s="175"/>
      <c r="E136" s="199"/>
      <c r="F136" s="175"/>
      <c r="G136" s="175"/>
      <c r="H136" s="226"/>
      <c r="I136" s="226"/>
      <c r="J136" s="226"/>
      <c r="N136" s="140" t="s">
        <v>377</v>
      </c>
      <c r="O136" s="139" t="s">
        <v>357</v>
      </c>
      <c r="P136" s="139" t="s">
        <v>358</v>
      </c>
      <c r="Q136" s="147">
        <f>IF($N136="Y",VLOOKUP($O136,Data2023,Q$6,0)*PercIncr2024,VLOOKUP($O136,Data2023,Q$6,0))</f>
        <v>1.6202964109062494</v>
      </c>
      <c r="W136" s="116" t="str">
        <f>O136</f>
        <v>CEQEVE</v>
      </c>
      <c r="Y136" s="116" t="str">
        <f t="shared" ref="Y136:Z138" si="13">P136</f>
        <v>TL-Evening Shift Premium-CEQ</v>
      </c>
      <c r="Z136" s="123">
        <f t="shared" si="13"/>
        <v>1.6202964109062494</v>
      </c>
    </row>
    <row r="137" spans="1:26" x14ac:dyDescent="0.2">
      <c r="A137" s="102" t="str">
        <f>"schedule that includes a Saturday or Sunday shall be paid a night/weekend shift differential of "&amp;TEXT(Q137,"$0.000")&amp;" per hour for all hours worked on the qualified shift,"</f>
        <v>schedule that includes a Saturday or Sunday shall be paid a night/weekend shift differential of $1.620 per hour for all hours worked on the qualified shift,</v>
      </c>
      <c r="B137" s="178"/>
      <c r="C137" s="175"/>
      <c r="D137" s="175"/>
      <c r="E137" s="199"/>
      <c r="F137" s="175"/>
      <c r="G137" s="175"/>
      <c r="H137" s="226"/>
      <c r="I137" s="226"/>
      <c r="J137" s="226"/>
      <c r="N137" s="140" t="s">
        <v>377</v>
      </c>
      <c r="O137" s="139" t="s">
        <v>359</v>
      </c>
      <c r="P137" s="139" t="s">
        <v>360</v>
      </c>
      <c r="Q137" s="147">
        <f>IF($N137="Y",VLOOKUP($O137,Data2023,Q$6,0)*PercIncr2024,VLOOKUP($O137,Data2023,Q$6,0))</f>
        <v>1.6202964109062494</v>
      </c>
      <c r="W137" s="116" t="str">
        <f>O137</f>
        <v>CEQAM1</v>
      </c>
      <c r="Y137" s="116" t="str">
        <f t="shared" si="13"/>
        <v>TL-Morning Shift Premium CEQ</v>
      </c>
      <c r="Z137" s="123">
        <f t="shared" si="13"/>
        <v>1.6202964109062494</v>
      </c>
    </row>
    <row r="138" spans="1:26" x14ac:dyDescent="0.2">
      <c r="A138" s="175" t="s">
        <v>220</v>
      </c>
      <c r="B138" s="178"/>
      <c r="C138" s="175"/>
      <c r="D138" s="175"/>
      <c r="E138" s="199"/>
      <c r="F138" s="175"/>
      <c r="G138" s="175"/>
      <c r="H138" s="226"/>
      <c r="I138" s="226"/>
      <c r="J138" s="226"/>
      <c r="N138" s="140" t="s">
        <v>377</v>
      </c>
      <c r="O138" s="139" t="s">
        <v>361</v>
      </c>
      <c r="P138" s="139" t="s">
        <v>362</v>
      </c>
      <c r="Q138" s="147">
        <f>IF($N138="Y",VLOOKUP($O138,Data2023,Q$6,0)*PercIncr2024,VLOOKUP($O138,Data2023,Q$6,0))</f>
        <v>1.6202964109062494</v>
      </c>
      <c r="W138" s="116" t="str">
        <f>O138</f>
        <v>CEQWKE</v>
      </c>
      <c r="Y138" s="116" t="str">
        <f t="shared" si="13"/>
        <v>TL-Weekend Shift-CEQ</v>
      </c>
      <c r="Z138" s="123">
        <f t="shared" si="13"/>
        <v>1.6202964109062494</v>
      </c>
    </row>
    <row r="139" spans="1:26" x14ac:dyDescent="0.2">
      <c r="A139" s="175" t="s">
        <v>221</v>
      </c>
      <c r="B139" s="178"/>
      <c r="C139" s="175"/>
      <c r="D139" s="175"/>
      <c r="E139" s="199"/>
      <c r="F139" s="175"/>
      <c r="G139" s="175"/>
      <c r="H139" s="226"/>
      <c r="I139" s="226"/>
      <c r="J139" s="226"/>
      <c r="Q139" s="147"/>
    </row>
    <row r="140" spans="1:26" x14ac:dyDescent="0.2">
      <c r="A140" s="245"/>
      <c r="Q140" s="147"/>
    </row>
    <row r="141" spans="1:26" x14ac:dyDescent="0.2">
      <c r="A141" s="243" t="s">
        <v>410</v>
      </c>
      <c r="Q141" s="147"/>
    </row>
    <row r="142" spans="1:26" x14ac:dyDescent="0.2">
      <c r="A142" s="175" t="s">
        <v>217</v>
      </c>
      <c r="Q142" s="147"/>
    </row>
    <row r="143" spans="1:26" x14ac:dyDescent="0.2">
      <c r="A143" s="176" t="s">
        <v>173</v>
      </c>
      <c r="B143" s="245"/>
      <c r="C143" s="245"/>
      <c r="D143" s="245"/>
      <c r="E143" s="246"/>
      <c r="F143" s="247"/>
      <c r="G143" s="247"/>
      <c r="H143" s="226"/>
      <c r="I143" s="226"/>
      <c r="J143" s="236"/>
      <c r="K143" s="230"/>
      <c r="O143" s="139" t="s">
        <v>171</v>
      </c>
      <c r="Q143" s="147"/>
      <c r="W143" s="156" t="s">
        <v>171</v>
      </c>
    </row>
    <row r="144" spans="1:26" x14ac:dyDescent="0.2">
      <c r="A144" s="240">
        <f>Q144</f>
        <v>0.27859291796874991</v>
      </c>
      <c r="B144" s="175" t="s">
        <v>174</v>
      </c>
      <c r="C144" s="245"/>
      <c r="D144" s="245"/>
      <c r="E144" s="246"/>
      <c r="F144" s="247"/>
      <c r="G144" s="247"/>
      <c r="H144" s="226"/>
      <c r="I144" s="226"/>
      <c r="J144" s="236"/>
      <c r="N144" s="140" t="s">
        <v>377</v>
      </c>
      <c r="O144" s="139" t="s">
        <v>371</v>
      </c>
      <c r="Q144" s="147">
        <f>IF($N144="Y",VLOOKUP($O144,Data2023,Q$6,0)*PercIncr2024,VLOOKUP($O144,Data2023,Q$6,0))</f>
        <v>0.27859291796874991</v>
      </c>
      <c r="W144" s="116" t="str">
        <f>O144</f>
        <v>10th</v>
      </c>
      <c r="Y144" s="116">
        <f t="shared" ref="Y144:Z147" si="14">P144</f>
        <v>0</v>
      </c>
      <c r="Z144" s="123">
        <f t="shared" si="14"/>
        <v>0.27859291796874991</v>
      </c>
    </row>
    <row r="145" spans="1:30" s="197" customFormat="1" x14ac:dyDescent="0.2">
      <c r="A145" s="240">
        <f>Q145</f>
        <v>0.46915047385937486</v>
      </c>
      <c r="B145" s="175" t="s">
        <v>175</v>
      </c>
      <c r="C145" s="245"/>
      <c r="D145" s="245"/>
      <c r="E145" s="246"/>
      <c r="F145" s="247"/>
      <c r="G145" s="247"/>
      <c r="H145" s="226"/>
      <c r="I145" s="226"/>
      <c r="J145" s="236"/>
      <c r="K145" s="230"/>
      <c r="M145" s="190"/>
      <c r="N145" s="140" t="s">
        <v>377</v>
      </c>
      <c r="O145" s="139" t="s">
        <v>372</v>
      </c>
      <c r="P145" s="139"/>
      <c r="Q145" s="147">
        <f>IF($N145="Y",VLOOKUP($O145,Data2023,Q$6,0)*PercIncr2024,VLOOKUP($O145,Data2023,Q$6,0))</f>
        <v>0.46915047385937486</v>
      </c>
      <c r="R145" s="140"/>
      <c r="S145" s="140"/>
      <c r="T145" s="140"/>
      <c r="U145" s="140"/>
      <c r="V145" s="190"/>
      <c r="W145" s="116" t="str">
        <f>O145</f>
        <v>15th</v>
      </c>
      <c r="X145" s="117"/>
      <c r="Y145" s="116">
        <f t="shared" si="14"/>
        <v>0</v>
      </c>
      <c r="Z145" s="123">
        <f t="shared" si="14"/>
        <v>0.46915047385937486</v>
      </c>
      <c r="AA145" s="117"/>
      <c r="AB145" s="116"/>
      <c r="AC145" s="136"/>
      <c r="AD145" s="136"/>
    </row>
    <row r="146" spans="1:30" s="197" customFormat="1" x14ac:dyDescent="0.2">
      <c r="A146" s="240">
        <f>Q146</f>
        <v>0.55495709259374992</v>
      </c>
      <c r="B146" s="175" t="s">
        <v>176</v>
      </c>
      <c r="C146" s="245"/>
      <c r="D146" s="245"/>
      <c r="E146" s="246"/>
      <c r="F146" s="247"/>
      <c r="G146" s="247"/>
      <c r="H146" s="226"/>
      <c r="I146" s="226"/>
      <c r="J146" s="236"/>
      <c r="K146" s="230"/>
      <c r="M146" s="190"/>
      <c r="N146" s="140" t="s">
        <v>377</v>
      </c>
      <c r="O146" s="139" t="s">
        <v>373</v>
      </c>
      <c r="P146" s="139"/>
      <c r="Q146" s="147">
        <f>IF($N146="Y",VLOOKUP($O146,Data2023,Q$6,0)*PercIncr2024,VLOOKUP($O146,Data2023,Q$6,0))</f>
        <v>0.55495709259374992</v>
      </c>
      <c r="R146" s="140"/>
      <c r="S146" s="140"/>
      <c r="T146" s="140"/>
      <c r="U146" s="140"/>
      <c r="V146" s="190"/>
      <c r="W146" s="116" t="str">
        <f>O146</f>
        <v>20th</v>
      </c>
      <c r="X146" s="117"/>
      <c r="Y146" s="116">
        <f t="shared" si="14"/>
        <v>0</v>
      </c>
      <c r="Z146" s="123">
        <f t="shared" si="14"/>
        <v>0.55495709259374992</v>
      </c>
      <c r="AA146" s="117"/>
      <c r="AB146" s="116"/>
      <c r="AC146" s="136"/>
      <c r="AD146" s="136"/>
    </row>
    <row r="147" spans="1:30" s="197" customFormat="1" x14ac:dyDescent="0.2">
      <c r="A147" s="240">
        <f>Q147</f>
        <v>0.79789011706249968</v>
      </c>
      <c r="B147" s="175" t="s">
        <v>177</v>
      </c>
      <c r="C147" s="245"/>
      <c r="D147" s="245"/>
      <c r="E147" s="246"/>
      <c r="F147" s="247"/>
      <c r="G147" s="247"/>
      <c r="H147" s="226"/>
      <c r="I147" s="226"/>
      <c r="J147" s="236"/>
      <c r="K147" s="230"/>
      <c r="M147" s="190"/>
      <c r="N147" s="140" t="s">
        <v>377</v>
      </c>
      <c r="O147" s="139" t="s">
        <v>374</v>
      </c>
      <c r="P147" s="139"/>
      <c r="Q147" s="147">
        <f>IF($N147="Y",VLOOKUP($O147,Data2023,Q$6,0)*PercIncr2024,VLOOKUP($O147,Data2023,Q$6,0))</f>
        <v>0.79789011706249968</v>
      </c>
      <c r="R147" s="140"/>
      <c r="S147" s="140"/>
      <c r="T147" s="140"/>
      <c r="U147" s="140"/>
      <c r="V147" s="190"/>
      <c r="W147" s="116" t="str">
        <f>O147</f>
        <v>25th</v>
      </c>
      <c r="X147" s="117"/>
      <c r="Y147" s="116">
        <f t="shared" si="14"/>
        <v>0</v>
      </c>
      <c r="Z147" s="123">
        <f t="shared" si="14"/>
        <v>0.79789011706249968</v>
      </c>
      <c r="AA147" s="117"/>
      <c r="AB147" s="116"/>
      <c r="AC147" s="136"/>
      <c r="AD147" s="136"/>
    </row>
    <row r="148" spans="1:30" s="197" customFormat="1" x14ac:dyDescent="0.2">
      <c r="A148" s="232"/>
      <c r="B148" s="175"/>
      <c r="C148" s="245"/>
      <c r="D148" s="245"/>
      <c r="E148" s="246"/>
      <c r="F148" s="247"/>
      <c r="G148" s="247"/>
      <c r="H148" s="226"/>
      <c r="I148" s="226"/>
      <c r="J148" s="236"/>
      <c r="K148" s="230"/>
      <c r="M148" s="190"/>
      <c r="N148" s="140"/>
      <c r="O148" s="139"/>
      <c r="P148" s="139"/>
      <c r="Q148" s="147"/>
      <c r="R148" s="140"/>
      <c r="S148" s="140"/>
      <c r="T148" s="140"/>
      <c r="U148" s="140"/>
      <c r="V148" s="190"/>
      <c r="W148" s="116"/>
      <c r="X148" s="117"/>
      <c r="Y148" s="116"/>
      <c r="Z148" s="117"/>
      <c r="AA148" s="117"/>
      <c r="AB148" s="116"/>
      <c r="AC148" s="136"/>
      <c r="AD148" s="136"/>
    </row>
    <row r="149" spans="1:30" s="197" customFormat="1" x14ac:dyDescent="0.2">
      <c r="A149" s="243" t="s">
        <v>411</v>
      </c>
      <c r="B149" s="190"/>
      <c r="C149" s="190"/>
      <c r="D149" s="190"/>
      <c r="E149" s="195"/>
      <c r="F149" s="190"/>
      <c r="G149" s="190"/>
      <c r="H149" s="190"/>
      <c r="I149" s="190"/>
      <c r="J149" s="190"/>
      <c r="K149" s="230"/>
      <c r="M149" s="190"/>
      <c r="N149" s="140"/>
      <c r="O149" s="139"/>
      <c r="P149" s="139"/>
      <c r="Q149" s="147"/>
      <c r="R149" s="140"/>
      <c r="S149" s="140"/>
      <c r="T149" s="140"/>
      <c r="U149" s="140"/>
      <c r="V149" s="190"/>
      <c r="W149" s="116"/>
      <c r="X149" s="117"/>
      <c r="Y149" s="116"/>
      <c r="Z149" s="117"/>
      <c r="AA149" s="117"/>
      <c r="AB149" s="116"/>
      <c r="AC149" s="136"/>
      <c r="AD149" s="136"/>
    </row>
    <row r="150" spans="1:30" s="197" customFormat="1" x14ac:dyDescent="0.2">
      <c r="A150" s="248" t="s">
        <v>179</v>
      </c>
      <c r="B150" s="190"/>
      <c r="C150" s="190"/>
      <c r="D150" s="190"/>
      <c r="E150" s="195"/>
      <c r="F150" s="190"/>
      <c r="G150" s="190"/>
      <c r="H150" s="190"/>
      <c r="I150" s="190"/>
      <c r="J150" s="190"/>
      <c r="M150" s="190"/>
      <c r="N150" s="140"/>
      <c r="O150" s="139"/>
      <c r="P150" s="139"/>
      <c r="Q150" s="147"/>
      <c r="R150" s="140"/>
      <c r="S150" s="140"/>
      <c r="T150" s="140"/>
      <c r="U150" s="140"/>
      <c r="V150" s="190"/>
      <c r="W150" s="116"/>
      <c r="X150" s="117"/>
      <c r="Y150" s="116"/>
      <c r="Z150" s="117"/>
      <c r="AA150" s="117"/>
      <c r="AB150" s="116"/>
      <c r="AC150" s="136"/>
      <c r="AD150" s="136"/>
    </row>
    <row r="151" spans="1:30" s="197" customFormat="1" x14ac:dyDescent="0.2">
      <c r="A151" s="248" t="str">
        <f>"a training premium of "&amp;TEXT(Q151,"$0.000")&amp;" per hour for all hours shall be paid."</f>
        <v>a training premium of $3.555 per hour for all hours shall be paid.</v>
      </c>
      <c r="B151" s="190"/>
      <c r="C151" s="190"/>
      <c r="D151" s="190"/>
      <c r="E151" s="195"/>
      <c r="F151" s="190"/>
      <c r="G151" s="190"/>
      <c r="H151" s="190"/>
      <c r="I151" s="190"/>
      <c r="J151" s="190"/>
      <c r="M151" s="190"/>
      <c r="N151" s="140" t="s">
        <v>377</v>
      </c>
      <c r="O151" s="139" t="s">
        <v>363</v>
      </c>
      <c r="P151" s="139" t="s">
        <v>364</v>
      </c>
      <c r="Q151" s="147">
        <f>IF($N151="Y",VLOOKUP($O151,Data2023,Q$6,0)*PercIncr2024,VLOOKUP($O151,Data2023,Q$6,0))</f>
        <v>3.5548456332812486</v>
      </c>
      <c r="R151" s="140"/>
      <c r="S151" s="140"/>
      <c r="T151" s="140"/>
      <c r="U151" s="140"/>
      <c r="V151" s="190"/>
      <c r="W151" s="116" t="str">
        <f>O151</f>
        <v>CEQTPP</v>
      </c>
      <c r="X151" s="117"/>
      <c r="Y151" s="116" t="str">
        <f>P151</f>
        <v>TL-Training Premium Pay-CEQ</v>
      </c>
      <c r="Z151" s="123">
        <f>Q151</f>
        <v>3.5548456332812486</v>
      </c>
      <c r="AA151" s="117"/>
      <c r="AB151" s="116"/>
      <c r="AC151" s="136"/>
      <c r="AD151" s="136"/>
    </row>
    <row r="152" spans="1:30" s="197" customFormat="1" x14ac:dyDescent="0.2">
      <c r="A152" s="248"/>
      <c r="B152" s="190"/>
      <c r="C152" s="190"/>
      <c r="D152" s="190"/>
      <c r="E152" s="195"/>
      <c r="F152" s="190"/>
      <c r="G152" s="190"/>
      <c r="H152" s="190"/>
      <c r="I152" s="190"/>
      <c r="J152" s="190"/>
      <c r="M152" s="190"/>
      <c r="N152" s="140"/>
      <c r="O152" s="139"/>
      <c r="P152" s="139"/>
      <c r="Q152" s="147"/>
      <c r="R152" s="140"/>
      <c r="S152" s="140"/>
      <c r="T152" s="140"/>
      <c r="U152" s="140"/>
      <c r="V152" s="190"/>
      <c r="W152" s="116"/>
      <c r="X152" s="117"/>
      <c r="Y152" s="116"/>
      <c r="Z152" s="117"/>
      <c r="AA152" s="117"/>
      <c r="AB152" s="116"/>
      <c r="AC152" s="136"/>
      <c r="AD152" s="136"/>
    </row>
    <row r="153" spans="1:30" x14ac:dyDescent="0.2">
      <c r="A153" s="243" t="s">
        <v>412</v>
      </c>
    </row>
    <row r="157" spans="1:30" x14ac:dyDescent="0.2">
      <c r="B157" s="190" t="s">
        <v>453</v>
      </c>
      <c r="E157" s="190"/>
      <c r="F157" s="195"/>
      <c r="H157" s="190" t="s">
        <v>454</v>
      </c>
    </row>
    <row r="165" spans="5:5" x14ac:dyDescent="0.2">
      <c r="E165" s="195" t="s">
        <v>8</v>
      </c>
    </row>
  </sheetData>
  <sheetProtection sheet="1" objects="1" scenarios="1"/>
  <pageMargins left="0.25" right="0.25" top="0.75" bottom="0.75" header="0.3" footer="0.3"/>
  <pageSetup scale="7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4DF1-39EF-4B5F-87F0-DF78B81986E1}">
  <sheetPr codeName="Sheet12">
    <pageSetUpPr fitToPage="1"/>
  </sheetPr>
  <dimension ref="A1:AP161"/>
  <sheetViews>
    <sheetView showGridLines="0" zoomScaleNormal="100" workbookViewId="0"/>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28515625" style="2" customWidth="1"/>
    <col min="11" max="12" width="13.28515625" style="5" customWidth="1"/>
    <col min="13" max="13" width="50.5703125" style="2" customWidth="1"/>
    <col min="14" max="14" width="11.5703125" style="140" hidden="1" customWidth="1"/>
    <col min="15" max="15" width="8.7109375" style="139" hidden="1" customWidth="1"/>
    <col min="16" max="16" width="35.28515625" style="139" hidden="1" customWidth="1"/>
    <col min="17" max="17" width="7.42578125" style="140" hidden="1" customWidth="1"/>
    <col min="18" max="18" width="11.28515625" style="140" hidden="1" customWidth="1"/>
    <col min="19" max="21" width="7.42578125" style="140" hidden="1" customWidth="1"/>
    <col min="22" max="22" width="0" style="2" hidden="1" customWidth="1"/>
    <col min="23" max="23" width="9.140625" style="116" hidden="1" customWidth="1"/>
    <col min="24" max="24" width="11.7109375" style="117" hidden="1" customWidth="1"/>
    <col min="25" max="25" width="35.28515625" style="116" hidden="1" customWidth="1"/>
    <col min="26" max="26" width="7.42578125" style="117" hidden="1" customWidth="1"/>
    <col min="27" max="27" width="11.28515625" style="117" hidden="1" customWidth="1"/>
    <col min="28" max="30" width="7.42578125" style="116" hidden="1" customWidth="1"/>
    <col min="31" max="42" width="0" style="2" hidden="1" customWidth="1"/>
    <col min="43" max="16384" width="9.140625" style="2"/>
  </cols>
  <sheetData>
    <row r="1" spans="1:42" x14ac:dyDescent="0.2">
      <c r="A1" s="2" t="s">
        <v>452</v>
      </c>
    </row>
    <row r="2" spans="1:42" x14ac:dyDescent="0.2">
      <c r="A2" s="1" t="s">
        <v>0</v>
      </c>
      <c r="D2" s="3"/>
      <c r="I2" s="4"/>
      <c r="J2" s="4"/>
      <c r="N2" s="137" t="s">
        <v>405</v>
      </c>
      <c r="O2" s="138">
        <v>1.0449999999999999</v>
      </c>
    </row>
    <row r="3" spans="1:42" x14ac:dyDescent="0.2">
      <c r="A3" s="2" t="s">
        <v>448</v>
      </c>
      <c r="D3" s="3"/>
      <c r="I3" s="4"/>
      <c r="J3" s="4"/>
      <c r="K3" s="6"/>
    </row>
    <row r="4" spans="1:42" x14ac:dyDescent="0.2">
      <c r="A4" s="134" t="s">
        <v>450</v>
      </c>
      <c r="D4" s="3"/>
      <c r="I4" s="4"/>
      <c r="J4" s="4"/>
      <c r="K4" s="6"/>
    </row>
    <row r="5" spans="1:42" x14ac:dyDescent="0.2">
      <c r="A5" s="2" t="s">
        <v>478</v>
      </c>
      <c r="D5" s="3"/>
      <c r="I5" s="4"/>
      <c r="J5" s="4"/>
      <c r="K5" s="6"/>
    </row>
    <row r="6" spans="1:42" x14ac:dyDescent="0.2">
      <c r="A6" s="1"/>
      <c r="D6" s="3"/>
      <c r="I6" s="4"/>
      <c r="J6" s="4"/>
      <c r="Q6" s="140">
        <v>3</v>
      </c>
      <c r="R6" s="140">
        <f>Q6+1</f>
        <v>4</v>
      </c>
      <c r="S6" s="140">
        <f>R6+1</f>
        <v>5</v>
      </c>
      <c r="T6" s="140">
        <f>S6+1</f>
        <v>6</v>
      </c>
      <c r="U6" s="140">
        <f>T6+1</f>
        <v>7</v>
      </c>
    </row>
    <row r="7" spans="1:42"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 t="shared" ref="W7:W14" si="0">O7</f>
        <v>Job
Code</v>
      </c>
      <c r="X7" s="157" t="str">
        <f t="shared" ref="X7:Y14" si="1">C7</f>
        <v>Salary
Grade</v>
      </c>
      <c r="Y7" s="156" t="str">
        <f t="shared" si="1"/>
        <v>Classification</v>
      </c>
      <c r="Z7" s="158" t="s">
        <v>10</v>
      </c>
      <c r="AA7" s="159" t="s">
        <v>186</v>
      </c>
      <c r="AB7" s="159" t="s">
        <v>187</v>
      </c>
      <c r="AC7" s="159" t="s">
        <v>188</v>
      </c>
      <c r="AF7" s="2">
        <v>6</v>
      </c>
      <c r="AG7" s="2">
        <v>7</v>
      </c>
      <c r="AH7" s="2">
        <v>8</v>
      </c>
      <c r="AI7" s="2">
        <v>9</v>
      </c>
      <c r="AJ7" s="2">
        <v>10</v>
      </c>
      <c r="AL7" s="2">
        <v>1</v>
      </c>
      <c r="AM7" s="2">
        <v>2</v>
      </c>
      <c r="AN7" s="2">
        <v>3</v>
      </c>
      <c r="AO7" s="2">
        <v>4</v>
      </c>
      <c r="AP7" s="2">
        <v>5</v>
      </c>
    </row>
    <row r="8" spans="1:42" x14ac:dyDescent="0.2">
      <c r="A8" s="4" t="s">
        <v>12</v>
      </c>
      <c r="B8" s="4" t="s">
        <v>184</v>
      </c>
      <c r="C8" s="4">
        <v>21</v>
      </c>
      <c r="D8" s="14" t="s">
        <v>13</v>
      </c>
      <c r="E8" s="4">
        <v>303</v>
      </c>
      <c r="F8" s="4">
        <v>6</v>
      </c>
      <c r="G8" s="4" t="s">
        <v>14</v>
      </c>
      <c r="H8" s="15">
        <f t="shared" ref="H8:K14" si="2">Q8</f>
        <v>38.287862984422297</v>
      </c>
      <c r="I8" s="15">
        <f t="shared" si="2"/>
        <v>39.436498873954967</v>
      </c>
      <c r="J8" s="15">
        <f t="shared" si="2"/>
        <v>40.619593840173614</v>
      </c>
      <c r="K8" s="15">
        <f t="shared" si="2"/>
        <v>41.838181655378825</v>
      </c>
      <c r="L8" s="93"/>
      <c r="M8" s="93"/>
      <c r="N8" s="146" t="s">
        <v>377</v>
      </c>
      <c r="O8" s="146" t="str">
        <f t="shared" ref="O8:O14" si="3">A8</f>
        <v>01180C</v>
      </c>
      <c r="P8" s="167" t="str">
        <f t="shared" ref="P8:P14" si="4">D8</f>
        <v>Automotive Mechanic</v>
      </c>
      <c r="Q8" s="168">
        <f t="shared" ref="Q8:Q13" si="5">IF($N8="Y",((VLOOKUP($O8,Data2023,R$6,0)+Pension2023+3.24)*PercIncr2024),(VLOOKUP($O8,Data2023,R$6,0)+Pension2023))</f>
        <v>38.287862984422297</v>
      </c>
      <c r="R8" s="168">
        <f t="shared" ref="R8:T13" si="6">Q8*1.03</f>
        <v>39.436498873954967</v>
      </c>
      <c r="S8" s="168">
        <f t="shared" si="6"/>
        <v>40.619593840173614</v>
      </c>
      <c r="T8" s="168">
        <f t="shared" si="6"/>
        <v>41.838181655378825</v>
      </c>
      <c r="W8" s="116" t="str">
        <f t="shared" si="0"/>
        <v>01180C</v>
      </c>
      <c r="X8" s="117">
        <f t="shared" si="1"/>
        <v>21</v>
      </c>
      <c r="Y8" s="116" t="str">
        <f t="shared" si="1"/>
        <v>Automotive Mechanic</v>
      </c>
      <c r="Z8" s="123">
        <f t="shared" ref="Z8:AC13" si="7">Q8</f>
        <v>38.287862984422297</v>
      </c>
      <c r="AA8" s="123">
        <f t="shared" si="7"/>
        <v>39.436498873954967</v>
      </c>
      <c r="AB8" s="123">
        <f t="shared" si="7"/>
        <v>40.619593840173614</v>
      </c>
      <c r="AC8" s="123">
        <f t="shared" si="7"/>
        <v>41.838181655378825</v>
      </c>
      <c r="AF8" s="249">
        <v>38.287999999999997</v>
      </c>
      <c r="AG8" s="249">
        <v>39.436</v>
      </c>
      <c r="AH8" s="249">
        <v>40.619999999999997</v>
      </c>
      <c r="AI8" s="249">
        <v>41.838000000000001</v>
      </c>
      <c r="AJ8" s="249"/>
      <c r="AL8" s="160">
        <f>AF8-Z8</f>
        <v>1.3701557769962847E-4</v>
      </c>
      <c r="AM8" s="160">
        <f t="shared" ref="AM8:AP8" si="8">AG8-AA8</f>
        <v>-4.9887395496739373E-4</v>
      </c>
      <c r="AN8" s="160">
        <f t="shared" si="8"/>
        <v>4.0615982638314563E-4</v>
      </c>
      <c r="AO8" s="160">
        <f t="shared" si="8"/>
        <v>-1.8165537882453009E-4</v>
      </c>
      <c r="AP8" s="160">
        <f t="shared" si="8"/>
        <v>0</v>
      </c>
    </row>
    <row r="9" spans="1:42" x14ac:dyDescent="0.2">
      <c r="A9" s="4" t="s">
        <v>249</v>
      </c>
      <c r="B9" s="4" t="s">
        <v>184</v>
      </c>
      <c r="C9" s="75" t="s">
        <v>194</v>
      </c>
      <c r="D9" s="3" t="s">
        <v>248</v>
      </c>
      <c r="E9" s="4">
        <v>328</v>
      </c>
      <c r="F9" s="4">
        <v>7</v>
      </c>
      <c r="G9" s="4" t="s">
        <v>14</v>
      </c>
      <c r="H9" s="15">
        <f t="shared" si="2"/>
        <v>42.587456778145416</v>
      </c>
      <c r="I9" s="15">
        <f t="shared" si="2"/>
        <v>43.865080481489777</v>
      </c>
      <c r="J9" s="15">
        <f t="shared" si="2"/>
        <v>45.181032895934472</v>
      </c>
      <c r="K9" s="15">
        <f t="shared" si="2"/>
        <v>46.536463882812505</v>
      </c>
      <c r="L9" s="93"/>
      <c r="M9" s="93"/>
      <c r="N9" s="146" t="s">
        <v>377</v>
      </c>
      <c r="O9" s="146" t="str">
        <f t="shared" si="3"/>
        <v xml:space="preserve">52930C </v>
      </c>
      <c r="P9" s="167" t="str">
        <f t="shared" si="4"/>
        <v>Fleet Equipment Repair Coordinator</v>
      </c>
      <c r="Q9" s="168">
        <f t="shared" si="5"/>
        <v>42.587456778145416</v>
      </c>
      <c r="R9" s="168">
        <f t="shared" si="6"/>
        <v>43.865080481489777</v>
      </c>
      <c r="S9" s="168">
        <f t="shared" si="6"/>
        <v>45.181032895934472</v>
      </c>
      <c r="T9" s="168">
        <f t="shared" si="6"/>
        <v>46.536463882812505</v>
      </c>
      <c r="W9" s="116" t="str">
        <f t="shared" si="0"/>
        <v xml:space="preserve">52930C </v>
      </c>
      <c r="X9" s="117" t="str">
        <f t="shared" si="1"/>
        <v>12</v>
      </c>
      <c r="Y9" s="116" t="str">
        <f t="shared" si="1"/>
        <v>Fleet Equipment Repair Coordinator</v>
      </c>
      <c r="Z9" s="123">
        <f t="shared" si="7"/>
        <v>42.587456778145416</v>
      </c>
      <c r="AA9" s="123">
        <f t="shared" si="7"/>
        <v>43.865080481489777</v>
      </c>
      <c r="AB9" s="123">
        <f t="shared" si="7"/>
        <v>45.181032895934472</v>
      </c>
      <c r="AC9" s="123">
        <f t="shared" si="7"/>
        <v>46.536463882812505</v>
      </c>
      <c r="AF9" s="249">
        <v>42.587000000000003</v>
      </c>
      <c r="AG9" s="249">
        <v>43.865000000000002</v>
      </c>
      <c r="AH9" s="249">
        <v>45.180999999999997</v>
      </c>
      <c r="AI9" s="249">
        <v>46.536000000000001</v>
      </c>
      <c r="AJ9" s="249"/>
      <c r="AL9" s="160">
        <f t="shared" ref="AL9:AL14" si="9">AF9-Z9</f>
        <v>-4.5677814541278394E-4</v>
      </c>
      <c r="AM9" s="160">
        <f t="shared" ref="AM9:AM14" si="10">AG9-AA9</f>
        <v>-8.048148977479741E-5</v>
      </c>
      <c r="AN9" s="160">
        <f t="shared" ref="AN9:AN14" si="11">AH9-AB9</f>
        <v>-3.2895934474197475E-5</v>
      </c>
      <c r="AO9" s="160">
        <f t="shared" ref="AO9:AO14" si="12">AI9-AC9</f>
        <v>-4.6388281250386854E-4</v>
      </c>
      <c r="AP9" s="160">
        <f t="shared" ref="AP9:AP14" si="13">AJ9-AD9</f>
        <v>0</v>
      </c>
    </row>
    <row r="10" spans="1:42" x14ac:dyDescent="0.2">
      <c r="A10" s="4" t="s">
        <v>17</v>
      </c>
      <c r="B10" s="4" t="s">
        <v>184</v>
      </c>
      <c r="C10" s="75" t="s">
        <v>194</v>
      </c>
      <c r="D10" s="3" t="s">
        <v>18</v>
      </c>
      <c r="E10" s="4">
        <v>335</v>
      </c>
      <c r="F10" s="4">
        <v>7</v>
      </c>
      <c r="G10" s="4" t="s">
        <v>14</v>
      </c>
      <c r="H10" s="15">
        <f t="shared" si="2"/>
        <v>42.587456778145416</v>
      </c>
      <c r="I10" s="15">
        <f t="shared" si="2"/>
        <v>43.865080481489777</v>
      </c>
      <c r="J10" s="15">
        <f t="shared" si="2"/>
        <v>45.181032895934472</v>
      </c>
      <c r="K10" s="15">
        <f t="shared" si="2"/>
        <v>46.536463882812505</v>
      </c>
      <c r="L10" s="93"/>
      <c r="M10" s="93"/>
      <c r="N10" s="146" t="s">
        <v>377</v>
      </c>
      <c r="O10" s="146" t="str">
        <f t="shared" si="3"/>
        <v>04520C</v>
      </c>
      <c r="P10" s="167" t="str">
        <f t="shared" si="4"/>
        <v>Foreman Auto Mechanic</v>
      </c>
      <c r="Q10" s="168">
        <f t="shared" si="5"/>
        <v>42.587456778145416</v>
      </c>
      <c r="R10" s="168">
        <f t="shared" si="6"/>
        <v>43.865080481489777</v>
      </c>
      <c r="S10" s="168">
        <f t="shared" si="6"/>
        <v>45.181032895934472</v>
      </c>
      <c r="T10" s="168">
        <f t="shared" si="6"/>
        <v>46.536463882812505</v>
      </c>
      <c r="W10" s="116" t="str">
        <f t="shared" si="0"/>
        <v>04520C</v>
      </c>
      <c r="X10" s="117" t="str">
        <f t="shared" si="1"/>
        <v>12</v>
      </c>
      <c r="Y10" s="116" t="str">
        <f t="shared" si="1"/>
        <v>Foreman Auto Mechanic</v>
      </c>
      <c r="Z10" s="123">
        <f t="shared" si="7"/>
        <v>42.587456778145416</v>
      </c>
      <c r="AA10" s="123">
        <f t="shared" si="7"/>
        <v>43.865080481489777</v>
      </c>
      <c r="AB10" s="123">
        <f t="shared" si="7"/>
        <v>45.181032895934472</v>
      </c>
      <c r="AC10" s="123">
        <f t="shared" si="7"/>
        <v>46.536463882812505</v>
      </c>
      <c r="AF10" s="249">
        <v>42.587000000000003</v>
      </c>
      <c r="AG10" s="249">
        <v>43.865000000000002</v>
      </c>
      <c r="AH10" s="249">
        <v>45.180999999999997</v>
      </c>
      <c r="AI10" s="249">
        <v>46.536000000000001</v>
      </c>
      <c r="AJ10" s="249"/>
      <c r="AL10" s="160">
        <f t="shared" si="9"/>
        <v>-4.5677814541278394E-4</v>
      </c>
      <c r="AM10" s="160">
        <f t="shared" si="10"/>
        <v>-8.048148977479741E-5</v>
      </c>
      <c r="AN10" s="160">
        <f t="shared" si="11"/>
        <v>-3.2895934474197475E-5</v>
      </c>
      <c r="AO10" s="160">
        <f t="shared" si="12"/>
        <v>-4.6388281250386854E-4</v>
      </c>
      <c r="AP10" s="160">
        <f t="shared" si="13"/>
        <v>0</v>
      </c>
    </row>
    <row r="11" spans="1:42" x14ac:dyDescent="0.2">
      <c r="A11" s="4" t="s">
        <v>21</v>
      </c>
      <c r="B11" s="4" t="s">
        <v>184</v>
      </c>
      <c r="C11" s="75" t="s">
        <v>193</v>
      </c>
      <c r="D11" s="14" t="s">
        <v>22</v>
      </c>
      <c r="E11" s="4">
        <v>295</v>
      </c>
      <c r="F11" s="4">
        <v>6</v>
      </c>
      <c r="G11" s="4" t="s">
        <v>14</v>
      </c>
      <c r="H11" s="15">
        <f t="shared" si="2"/>
        <v>37.956295563338955</v>
      </c>
      <c r="I11" s="15">
        <f t="shared" si="2"/>
        <v>39.094984430239123</v>
      </c>
      <c r="J11" s="15">
        <f t="shared" si="2"/>
        <v>40.267833963146295</v>
      </c>
      <c r="K11" s="15">
        <f t="shared" si="2"/>
        <v>41.475868982040687</v>
      </c>
      <c r="L11" s="93"/>
      <c r="M11" s="93"/>
      <c r="N11" s="146" t="s">
        <v>377</v>
      </c>
      <c r="O11" s="146" t="str">
        <f t="shared" si="3"/>
        <v>07115C</v>
      </c>
      <c r="P11" s="169" t="str">
        <f t="shared" si="4"/>
        <v>Metal Fabrication &amp; Welding Specialist</v>
      </c>
      <c r="Q11" s="170">
        <f t="shared" si="5"/>
        <v>37.956295563338955</v>
      </c>
      <c r="R11" s="170">
        <f t="shared" si="6"/>
        <v>39.094984430239123</v>
      </c>
      <c r="S11" s="170">
        <f t="shared" si="6"/>
        <v>40.267833963146295</v>
      </c>
      <c r="T11" s="170">
        <f t="shared" si="6"/>
        <v>41.475868982040687</v>
      </c>
      <c r="W11" s="116" t="str">
        <f t="shared" si="0"/>
        <v>07115C</v>
      </c>
      <c r="X11" s="117" t="str">
        <f t="shared" si="1"/>
        <v>07</v>
      </c>
      <c r="Y11" s="116" t="str">
        <f t="shared" si="1"/>
        <v>Metal Fabrication &amp; Welding Specialist</v>
      </c>
      <c r="Z11" s="123">
        <f t="shared" si="7"/>
        <v>37.956295563338955</v>
      </c>
      <c r="AA11" s="123">
        <f t="shared" si="7"/>
        <v>39.094984430239123</v>
      </c>
      <c r="AB11" s="123">
        <f t="shared" si="7"/>
        <v>40.267833963146295</v>
      </c>
      <c r="AC11" s="123">
        <f t="shared" si="7"/>
        <v>41.475868982040687</v>
      </c>
      <c r="AF11" s="249">
        <v>37.956000000000003</v>
      </c>
      <c r="AG11" s="249">
        <v>39.094999999999999</v>
      </c>
      <c r="AH11" s="249">
        <v>40.268000000000001</v>
      </c>
      <c r="AI11" s="249">
        <v>41.475999999999999</v>
      </c>
      <c r="AJ11" s="249"/>
      <c r="AL11" s="160">
        <f t="shared" si="9"/>
        <v>-2.9556333895186526E-4</v>
      </c>
      <c r="AM11" s="160">
        <f t="shared" si="10"/>
        <v>1.5569760876132932E-5</v>
      </c>
      <c r="AN11" s="160">
        <f t="shared" si="11"/>
        <v>1.6603685370597532E-4</v>
      </c>
      <c r="AO11" s="160">
        <f t="shared" si="12"/>
        <v>1.3101795931191873E-4</v>
      </c>
      <c r="AP11" s="160">
        <f t="shared" si="13"/>
        <v>0</v>
      </c>
    </row>
    <row r="12" spans="1:42" x14ac:dyDescent="0.2">
      <c r="A12" s="4" t="s">
        <v>255</v>
      </c>
      <c r="B12" s="4" t="s">
        <v>184</v>
      </c>
      <c r="C12" s="75" t="s">
        <v>194</v>
      </c>
      <c r="D12" s="14" t="s">
        <v>251</v>
      </c>
      <c r="E12" s="4">
        <v>328</v>
      </c>
      <c r="F12" s="4">
        <v>7</v>
      </c>
      <c r="G12" s="4" t="s">
        <v>14</v>
      </c>
      <c r="H12" s="15">
        <f t="shared" si="2"/>
        <v>42.587456778145416</v>
      </c>
      <c r="I12" s="15">
        <f t="shared" si="2"/>
        <v>43.865080481489777</v>
      </c>
      <c r="J12" s="15">
        <f t="shared" si="2"/>
        <v>45.181032895934472</v>
      </c>
      <c r="K12" s="15">
        <f t="shared" si="2"/>
        <v>46.536463882812505</v>
      </c>
      <c r="L12" s="93"/>
      <c r="M12" s="93"/>
      <c r="N12" s="146" t="s">
        <v>377</v>
      </c>
      <c r="O12" s="146" t="str">
        <f t="shared" si="3"/>
        <v>52973C</v>
      </c>
      <c r="P12" s="167" t="str">
        <f t="shared" si="4"/>
        <v>Sanitation Equipment Repair Coordinator</v>
      </c>
      <c r="Q12" s="168">
        <f t="shared" si="5"/>
        <v>42.587456778145416</v>
      </c>
      <c r="R12" s="168">
        <f t="shared" si="6"/>
        <v>43.865080481489777</v>
      </c>
      <c r="S12" s="168">
        <f t="shared" si="6"/>
        <v>45.181032895934472</v>
      </c>
      <c r="T12" s="168">
        <f t="shared" si="6"/>
        <v>46.536463882812505</v>
      </c>
      <c r="W12" s="116" t="str">
        <f t="shared" si="0"/>
        <v>52973C</v>
      </c>
      <c r="X12" s="117" t="str">
        <f t="shared" si="1"/>
        <v>12</v>
      </c>
      <c r="Y12" s="116" t="str">
        <f t="shared" si="1"/>
        <v>Sanitation Equipment Repair Coordinator</v>
      </c>
      <c r="Z12" s="123">
        <f t="shared" si="7"/>
        <v>42.587456778145416</v>
      </c>
      <c r="AA12" s="123">
        <f t="shared" si="7"/>
        <v>43.865080481489777</v>
      </c>
      <c r="AB12" s="123">
        <f t="shared" si="7"/>
        <v>45.181032895934472</v>
      </c>
      <c r="AC12" s="123">
        <f t="shared" si="7"/>
        <v>46.536463882812505</v>
      </c>
      <c r="AF12" s="249">
        <v>42.587000000000003</v>
      </c>
      <c r="AG12" s="249">
        <v>43.865000000000002</v>
      </c>
      <c r="AH12" s="249">
        <v>45.180999999999997</v>
      </c>
      <c r="AI12" s="249">
        <v>46.536000000000001</v>
      </c>
      <c r="AJ12" s="249"/>
      <c r="AL12" s="160">
        <f t="shared" si="9"/>
        <v>-4.5677814541278394E-4</v>
      </c>
      <c r="AM12" s="160">
        <f t="shared" si="10"/>
        <v>-8.048148977479741E-5</v>
      </c>
      <c r="AN12" s="160">
        <f t="shared" si="11"/>
        <v>-3.2895934474197475E-5</v>
      </c>
      <c r="AO12" s="160">
        <f t="shared" si="12"/>
        <v>-4.6388281250386854E-4</v>
      </c>
      <c r="AP12" s="160">
        <f t="shared" si="13"/>
        <v>0</v>
      </c>
    </row>
    <row r="13" spans="1:42" x14ac:dyDescent="0.2">
      <c r="A13" s="4" t="s">
        <v>23</v>
      </c>
      <c r="B13" s="4" t="s">
        <v>184</v>
      </c>
      <c r="C13" s="75" t="s">
        <v>192</v>
      </c>
      <c r="D13" s="3" t="s">
        <v>214</v>
      </c>
      <c r="E13" s="4">
        <v>295</v>
      </c>
      <c r="F13" s="4">
        <v>6</v>
      </c>
      <c r="G13" s="4" t="s">
        <v>14</v>
      </c>
      <c r="H13" s="15">
        <f t="shared" si="2"/>
        <v>38.287862984422297</v>
      </c>
      <c r="I13" s="15">
        <f t="shared" si="2"/>
        <v>39.436498873954967</v>
      </c>
      <c r="J13" s="15">
        <f t="shared" si="2"/>
        <v>40.619593840173614</v>
      </c>
      <c r="K13" s="15">
        <f t="shared" si="2"/>
        <v>41.838181655378825</v>
      </c>
      <c r="L13" s="93"/>
      <c r="M13" s="93"/>
      <c r="N13" s="146" t="s">
        <v>377</v>
      </c>
      <c r="O13" s="146" t="str">
        <f t="shared" si="3"/>
        <v>10960C</v>
      </c>
      <c r="P13" s="169" t="str">
        <f t="shared" si="4"/>
        <v>Welder, Shop</v>
      </c>
      <c r="Q13" s="170">
        <f t="shared" si="5"/>
        <v>38.287862984422297</v>
      </c>
      <c r="R13" s="170">
        <f t="shared" si="6"/>
        <v>39.436498873954967</v>
      </c>
      <c r="S13" s="170">
        <f t="shared" si="6"/>
        <v>40.619593840173614</v>
      </c>
      <c r="T13" s="170">
        <f t="shared" si="6"/>
        <v>41.838181655378825</v>
      </c>
      <c r="W13" s="116" t="str">
        <f t="shared" si="0"/>
        <v>10960C</v>
      </c>
      <c r="X13" s="117" t="str">
        <f t="shared" si="1"/>
        <v>05</v>
      </c>
      <c r="Y13" s="116" t="str">
        <f t="shared" si="1"/>
        <v>Welder, Shop</v>
      </c>
      <c r="Z13" s="123">
        <f t="shared" si="7"/>
        <v>38.287862984422297</v>
      </c>
      <c r="AA13" s="123">
        <f t="shared" si="7"/>
        <v>39.436498873954967</v>
      </c>
      <c r="AB13" s="123">
        <f t="shared" si="7"/>
        <v>40.619593840173614</v>
      </c>
      <c r="AC13" s="123">
        <f t="shared" si="7"/>
        <v>41.838181655378825</v>
      </c>
      <c r="AF13" s="249">
        <v>38.287999999999997</v>
      </c>
      <c r="AG13" s="249">
        <v>39.436</v>
      </c>
      <c r="AH13" s="249">
        <v>40.619999999999997</v>
      </c>
      <c r="AI13" s="249">
        <v>41.838000000000001</v>
      </c>
      <c r="AJ13" s="249"/>
      <c r="AL13" s="160">
        <f t="shared" si="9"/>
        <v>1.3701557769962847E-4</v>
      </c>
      <c r="AM13" s="160">
        <f t="shared" si="10"/>
        <v>-4.9887395496739373E-4</v>
      </c>
      <c r="AN13" s="160">
        <f t="shared" si="11"/>
        <v>4.0615982638314563E-4</v>
      </c>
      <c r="AO13" s="160">
        <f t="shared" si="12"/>
        <v>-1.8165537882453009E-4</v>
      </c>
      <c r="AP13" s="160">
        <f t="shared" si="13"/>
        <v>0</v>
      </c>
    </row>
    <row r="14" spans="1:42" x14ac:dyDescent="0.2">
      <c r="A14" s="4" t="s">
        <v>25</v>
      </c>
      <c r="B14" s="4" t="s">
        <v>184</v>
      </c>
      <c r="C14" s="75" t="s">
        <v>195</v>
      </c>
      <c r="D14" s="3" t="s">
        <v>283</v>
      </c>
      <c r="E14" s="4">
        <v>285</v>
      </c>
      <c r="F14" s="4">
        <v>6</v>
      </c>
      <c r="G14" s="4" t="s">
        <v>14</v>
      </c>
      <c r="H14" s="15">
        <f t="shared" si="2"/>
        <v>36.891190571844568</v>
      </c>
      <c r="I14" s="15">
        <f t="shared" si="2"/>
        <v>37.997926288999906</v>
      </c>
      <c r="J14" s="15">
        <f t="shared" si="2"/>
        <v>39.137864077669903</v>
      </c>
      <c r="K14" s="15">
        <f t="shared" si="2"/>
        <v>40.311999999999998</v>
      </c>
      <c r="L14" s="93"/>
      <c r="M14" s="93"/>
      <c r="N14" s="146" t="s">
        <v>377</v>
      </c>
      <c r="O14" s="146" t="str">
        <f t="shared" si="3"/>
        <v>08569C</v>
      </c>
      <c r="P14" s="166" t="str">
        <f t="shared" si="4"/>
        <v>Public Works Service Worker 2 (PWSW2)</v>
      </c>
      <c r="Q14" s="171">
        <f>R14/103%</f>
        <v>36.891190571844568</v>
      </c>
      <c r="R14" s="171">
        <f>S14/103%</f>
        <v>37.997926288999906</v>
      </c>
      <c r="S14" s="171">
        <f>T14/103%</f>
        <v>39.137864077669903</v>
      </c>
      <c r="T14" s="171">
        <v>40.311999999999998</v>
      </c>
      <c r="W14" s="116" t="str">
        <f t="shared" si="0"/>
        <v>08569C</v>
      </c>
      <c r="X14" s="117" t="str">
        <f t="shared" si="1"/>
        <v>20</v>
      </c>
      <c r="Y14" s="116" t="str">
        <f t="shared" si="1"/>
        <v>Public Works Service Worker 2 (PWSW2)</v>
      </c>
      <c r="Z14" s="123">
        <f>Q14</f>
        <v>36.891190571844568</v>
      </c>
      <c r="AA14" s="123">
        <f>R14</f>
        <v>37.997926288999906</v>
      </c>
      <c r="AB14" s="123">
        <f>S14</f>
        <v>39.137864077669903</v>
      </c>
      <c r="AC14" s="123">
        <v>40.311999999999998</v>
      </c>
      <c r="AF14" s="249">
        <v>36.890999999999998</v>
      </c>
      <c r="AG14" s="249">
        <v>37.997999999999998</v>
      </c>
      <c r="AH14" s="249">
        <v>39.137999999999998</v>
      </c>
      <c r="AI14" s="249">
        <v>40.311999999999998</v>
      </c>
      <c r="AJ14" s="249"/>
      <c r="AL14" s="160">
        <f t="shared" si="9"/>
        <v>-1.9057184456983123E-4</v>
      </c>
      <c r="AM14" s="160">
        <f t="shared" si="10"/>
        <v>7.3711000091236656E-5</v>
      </c>
      <c r="AN14" s="160">
        <f t="shared" si="11"/>
        <v>1.3592233009518395E-4</v>
      </c>
      <c r="AO14" s="160">
        <f t="shared" si="12"/>
        <v>0</v>
      </c>
      <c r="AP14" s="160">
        <f t="shared" si="13"/>
        <v>0</v>
      </c>
    </row>
    <row r="15" spans="1:42" s="5" customFormat="1" x14ac:dyDescent="0.2">
      <c r="A15" s="29"/>
      <c r="B15" s="29"/>
      <c r="C15" s="4"/>
      <c r="D15" s="28" t="s">
        <v>39</v>
      </c>
      <c r="E15" s="24"/>
      <c r="F15" s="24"/>
      <c r="G15" s="25"/>
      <c r="H15" s="4"/>
      <c r="I15" s="15"/>
      <c r="J15" s="4"/>
      <c r="K15" s="26"/>
      <c r="L15" s="26"/>
      <c r="M15" s="108"/>
      <c r="N15" s="148"/>
      <c r="O15" s="146"/>
      <c r="P15" s="139"/>
      <c r="Q15" s="147"/>
      <c r="R15" s="162"/>
      <c r="S15" s="154"/>
      <c r="T15" s="140"/>
      <c r="U15" s="140"/>
      <c r="V15" s="2"/>
      <c r="W15" s="116"/>
      <c r="X15" s="117"/>
      <c r="Y15" s="116"/>
      <c r="Z15" s="117"/>
      <c r="AA15" s="117"/>
      <c r="AB15" s="116"/>
      <c r="AC15" s="136"/>
      <c r="AD15" s="136"/>
    </row>
    <row r="16" spans="1:42" x14ac:dyDescent="0.2">
      <c r="A16" s="4"/>
      <c r="B16" s="4"/>
      <c r="C16" s="75"/>
      <c r="D16" s="3"/>
      <c r="E16" s="4"/>
      <c r="F16" s="4"/>
      <c r="G16" s="4"/>
      <c r="H16" s="4"/>
      <c r="I16" s="15"/>
      <c r="J16" s="4"/>
      <c r="K16" s="16"/>
      <c r="L16" s="93"/>
      <c r="M16" s="93"/>
      <c r="N16" s="146"/>
      <c r="O16" s="146"/>
      <c r="Q16" s="147"/>
      <c r="R16" s="147"/>
      <c r="S16" s="147"/>
      <c r="T16" s="147"/>
    </row>
    <row r="17" spans="1:42"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42" s="5" customFormat="1" ht="25.5" x14ac:dyDescent="0.2">
      <c r="A18" s="106" t="s">
        <v>280</v>
      </c>
      <c r="B18" s="106" t="s">
        <v>279</v>
      </c>
      <c r="C18" s="106" t="s">
        <v>281</v>
      </c>
      <c r="D18" s="103" t="s">
        <v>5</v>
      </c>
      <c r="E18" s="103" t="s">
        <v>6</v>
      </c>
      <c r="F18" s="106" t="s">
        <v>277</v>
      </c>
      <c r="G18" s="106" t="s">
        <v>278</v>
      </c>
      <c r="H18" s="107" t="s">
        <v>449</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42" s="5" customFormat="1" x14ac:dyDescent="0.2">
      <c r="A19" s="4" t="s">
        <v>28</v>
      </c>
      <c r="B19" s="4" t="s">
        <v>184</v>
      </c>
      <c r="C19" s="4">
        <v>36</v>
      </c>
      <c r="D19" s="3" t="s">
        <v>29</v>
      </c>
      <c r="E19" s="4">
        <v>285</v>
      </c>
      <c r="F19" s="4">
        <v>6</v>
      </c>
      <c r="G19" s="20" t="s">
        <v>14</v>
      </c>
      <c r="H19" s="15">
        <f>Q19</f>
        <v>35.725999999999999</v>
      </c>
      <c r="I19" s="15">
        <f>R19</f>
        <v>36.01729764296114</v>
      </c>
      <c r="J19" s="15">
        <f>S19</f>
        <v>36.30859528592228</v>
      </c>
      <c r="K19" s="15">
        <f>T19</f>
        <v>36.59989292888342</v>
      </c>
      <c r="L19" s="15">
        <f>U19</f>
        <v>36.891190571844568</v>
      </c>
      <c r="M19" s="2"/>
      <c r="N19" s="140" t="s">
        <v>377</v>
      </c>
      <c r="O19" s="146" t="str">
        <f>A19</f>
        <v>02624C</v>
      </c>
      <c r="P19" s="139" t="str">
        <f>D19</f>
        <v>PWSW2 Apprentice Program for  PWSW1's</v>
      </c>
      <c r="Q19" s="147">
        <v>35.725999999999999</v>
      </c>
      <c r="R19" s="147">
        <v>36.01729764296114</v>
      </c>
      <c r="S19" s="147">
        <v>36.30859528592228</v>
      </c>
      <c r="T19" s="147">
        <v>36.59989292888342</v>
      </c>
      <c r="U19" s="147">
        <v>36.891190571844568</v>
      </c>
      <c r="V19" s="2"/>
      <c r="W19" s="116" t="str">
        <f>O19</f>
        <v>02624C</v>
      </c>
      <c r="X19" s="117">
        <f>C19</f>
        <v>36</v>
      </c>
      <c r="Y19" s="116" t="str">
        <f>D19</f>
        <v>PWSW2 Apprentice Program for  PWSW1's</v>
      </c>
      <c r="Z19" s="123">
        <f>ROUND(Q19,3)</f>
        <v>35.725999999999999</v>
      </c>
      <c r="AA19" s="123">
        <f>ROUND(R19,3)</f>
        <v>36.017000000000003</v>
      </c>
      <c r="AB19" s="123">
        <f>ROUND(S19,3)</f>
        <v>36.308999999999997</v>
      </c>
      <c r="AC19" s="123">
        <f>ROUND(T19,3)</f>
        <v>36.6</v>
      </c>
      <c r="AD19" s="123">
        <f>ROUND(U19,3)</f>
        <v>36.890999999999998</v>
      </c>
      <c r="AF19" s="249">
        <v>35.725999999999999</v>
      </c>
      <c r="AG19" s="249">
        <v>36.017000000000003</v>
      </c>
      <c r="AH19" s="249">
        <v>36.308999999999997</v>
      </c>
      <c r="AI19" s="249">
        <v>36.6</v>
      </c>
      <c r="AJ19" s="249">
        <v>36.890999999999998</v>
      </c>
      <c r="AK19" s="2"/>
      <c r="AL19" s="160">
        <f t="shared" ref="AL19" si="14">AF19-Z19</f>
        <v>0</v>
      </c>
      <c r="AM19" s="160">
        <f t="shared" ref="AM19" si="15">AG19-AA19</f>
        <v>0</v>
      </c>
      <c r="AN19" s="160">
        <f t="shared" ref="AN19" si="16">AH19-AB19</f>
        <v>0</v>
      </c>
      <c r="AO19" s="160">
        <f t="shared" ref="AO19" si="17">AI19-AC19</f>
        <v>0</v>
      </c>
      <c r="AP19" s="160">
        <f t="shared" ref="AP19" si="18">AJ19-AD19</f>
        <v>0</v>
      </c>
    </row>
    <row r="20" spans="1:42" s="5" customFormat="1" x14ac:dyDescent="0.2">
      <c r="A20" s="4"/>
      <c r="B20" s="4"/>
      <c r="C20" s="4"/>
      <c r="D20" s="3"/>
      <c r="E20" s="4"/>
      <c r="F20" s="4"/>
      <c r="G20" s="20"/>
      <c r="H20" s="15"/>
      <c r="I20" s="15"/>
      <c r="J20" s="15"/>
      <c r="K20" s="15"/>
      <c r="L20" s="15"/>
      <c r="M20" s="2"/>
      <c r="N20" s="140"/>
      <c r="O20" s="146"/>
      <c r="P20" s="139"/>
      <c r="Q20" s="147"/>
      <c r="R20" s="147"/>
      <c r="S20" s="147"/>
      <c r="T20" s="147"/>
      <c r="U20" s="147"/>
      <c r="V20" s="2"/>
      <c r="W20" s="116"/>
      <c r="X20" s="117"/>
      <c r="Y20" s="116"/>
      <c r="Z20" s="123"/>
      <c r="AA20" s="123"/>
      <c r="AB20" s="123"/>
      <c r="AC20" s="123"/>
      <c r="AD20" s="123"/>
      <c r="AF20" s="249"/>
      <c r="AG20" s="249"/>
      <c r="AH20" s="249"/>
      <c r="AI20" s="249"/>
      <c r="AJ20" s="249"/>
      <c r="AL20" s="160"/>
      <c r="AM20" s="160"/>
      <c r="AN20" s="160"/>
      <c r="AO20" s="160"/>
      <c r="AP20" s="160"/>
    </row>
    <row r="21" spans="1:42"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54">
        <f>U19*1.025</f>
        <v>37.813470336140682</v>
      </c>
      <c r="V21" s="2"/>
      <c r="W21" s="116"/>
      <c r="X21" s="117"/>
      <c r="Y21" s="116"/>
      <c r="Z21" s="117"/>
      <c r="AA21" s="117"/>
      <c r="AB21" s="116"/>
      <c r="AC21" s="136"/>
      <c r="AD21" s="136"/>
    </row>
    <row r="22" spans="1:42" s="5" customFormat="1" ht="25.5" x14ac:dyDescent="0.2">
      <c r="A22" s="106" t="s">
        <v>280</v>
      </c>
      <c r="B22" s="106" t="s">
        <v>279</v>
      </c>
      <c r="C22" s="106" t="s">
        <v>281</v>
      </c>
      <c r="D22" s="103" t="s">
        <v>5</v>
      </c>
      <c r="E22" s="103" t="s">
        <v>6</v>
      </c>
      <c r="F22" s="106" t="s">
        <v>277</v>
      </c>
      <c r="G22" s="106" t="s">
        <v>278</v>
      </c>
      <c r="H22" s="107" t="s">
        <v>449</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42" s="5" customFormat="1" x14ac:dyDescent="0.2">
      <c r="A23" s="29" t="s">
        <v>36</v>
      </c>
      <c r="B23" s="29" t="s">
        <v>184</v>
      </c>
      <c r="C23" s="4">
        <v>37</v>
      </c>
      <c r="D23" s="132" t="s">
        <v>37</v>
      </c>
      <c r="E23" s="24">
        <v>285</v>
      </c>
      <c r="F23" s="25">
        <v>6</v>
      </c>
      <c r="G23" s="4" t="s">
        <v>14</v>
      </c>
      <c r="H23" s="15">
        <f>Q23</f>
        <v>34.085615215429172</v>
      </c>
      <c r="I23" s="15">
        <f>R23</f>
        <v>34.929138167710157</v>
      </c>
      <c r="J23" s="15">
        <f>S23</f>
        <v>35.533347219286064</v>
      </c>
      <c r="K23" s="15">
        <f>T23</f>
        <v>36.137556270861985</v>
      </c>
      <c r="L23" s="15">
        <f>U23</f>
        <v>36.741765322437892</v>
      </c>
      <c r="M23" s="2"/>
      <c r="N23" s="140" t="s">
        <v>377</v>
      </c>
      <c r="O23" s="146" t="str">
        <f>A23</f>
        <v>02622C</v>
      </c>
      <c r="P23" s="139" t="str">
        <f>D23</f>
        <v>PWSW2 Apprentice Program for MCL's</v>
      </c>
      <c r="Q23" s="147">
        <f>IF($N23="Y",((VLOOKUP($O23,Data2023,Q$6,0)+Pension2023)*PercIncr2024),VLOOKUP($O23,Data2023,Q$6,0)+Pension2023)</f>
        <v>34.085615215429172</v>
      </c>
      <c r="R23" s="147">
        <f>IF($N23="Y",((VLOOKUP($O23,Data2023,R$6,0)+Pension2023)*PercIncr2024),VLOOKUP($O23,Data2023,R$6,0)+Pension2023)</f>
        <v>34.929138167710157</v>
      </c>
      <c r="S23" s="147">
        <f>IF($N23="Y",((VLOOKUP($O23,Data2023,S$6,0)+Pension2023)*PercIncr2024),VLOOKUP($O23,Data2023,S$6,0)+Pension2023)</f>
        <v>35.533347219286064</v>
      </c>
      <c r="T23" s="147">
        <f>IF($N23="Y",((VLOOKUP($O23,Data2023,T$6,0)+Pension2023)*PercIncr2024),VLOOKUP($O23,Data2023,T$6,0)+Pension2023)</f>
        <v>36.137556270861985</v>
      </c>
      <c r="U23" s="147">
        <f>IF($N23="Y",((VLOOKUP($O23,Data2023,U$6,0)+Pension2023)*PercIncr2024),VLOOKUP($O23,Data2023,U$6,0)+Pension2023)</f>
        <v>36.741765322437892</v>
      </c>
      <c r="V23" s="2"/>
      <c r="W23" s="116" t="str">
        <f>O23</f>
        <v>02622C</v>
      </c>
      <c r="X23" s="117">
        <f>C23</f>
        <v>37</v>
      </c>
      <c r="Y23" s="116" t="str">
        <f>D23</f>
        <v>PWSW2 Apprentice Program for MCL's</v>
      </c>
      <c r="Z23" s="123">
        <f>ROUND(Q23,3)</f>
        <v>34.085999999999999</v>
      </c>
      <c r="AA23" s="123">
        <f>ROUND(R23,3)</f>
        <v>34.929000000000002</v>
      </c>
      <c r="AB23" s="123">
        <f>ROUND(S23,3)</f>
        <v>35.533000000000001</v>
      </c>
      <c r="AC23" s="123">
        <f>ROUND(T23,3)</f>
        <v>36.137999999999998</v>
      </c>
      <c r="AD23" s="123">
        <f>ROUND(U23,3)</f>
        <v>36.741999999999997</v>
      </c>
      <c r="AF23" s="249"/>
      <c r="AG23" s="249"/>
      <c r="AH23" s="249"/>
      <c r="AI23" s="249"/>
      <c r="AJ23" s="249"/>
      <c r="AL23" s="160"/>
      <c r="AM23" s="160"/>
      <c r="AN23" s="160"/>
      <c r="AO23" s="160"/>
      <c r="AP23" s="160"/>
    </row>
    <row r="24" spans="1:42" s="5" customFormat="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42" s="5" customFormat="1" x14ac:dyDescent="0.2">
      <c r="A25" s="29"/>
      <c r="B25" s="29"/>
      <c r="C25" s="4"/>
      <c r="D25" s="23"/>
      <c r="E25" s="24"/>
      <c r="F25" s="24"/>
      <c r="G25" s="25"/>
      <c r="H25" s="4"/>
      <c r="I25" s="15"/>
      <c r="J25" s="4"/>
      <c r="K25" s="26"/>
      <c r="L25" s="26"/>
      <c r="M25" s="108"/>
      <c r="N25" s="148"/>
      <c r="O25" s="148"/>
      <c r="P25" s="139"/>
      <c r="Q25" s="140"/>
      <c r="R25" s="140"/>
      <c r="S25" s="140"/>
      <c r="T25" s="140"/>
      <c r="U25" s="140"/>
      <c r="V25" s="2"/>
      <c r="W25" s="116"/>
      <c r="X25" s="117"/>
      <c r="Y25" s="116"/>
      <c r="Z25" s="117"/>
      <c r="AA25" s="117"/>
      <c r="AB25" s="116"/>
      <c r="AC25" s="136"/>
      <c r="AD25" s="136"/>
    </row>
    <row r="26" spans="1:42" s="5" customFormat="1" x14ac:dyDescent="0.2">
      <c r="A26" s="29"/>
      <c r="B26" s="29"/>
      <c r="C26" s="4"/>
      <c r="D26" s="23"/>
      <c r="E26" s="24"/>
      <c r="F26" s="24"/>
      <c r="G26" s="25"/>
      <c r="H26" s="4"/>
      <c r="I26" s="15"/>
      <c r="J26" s="4"/>
      <c r="K26" s="26"/>
      <c r="L26" s="26"/>
      <c r="M26" s="108"/>
      <c r="N26" s="148"/>
      <c r="O26" s="148"/>
      <c r="P26" s="139"/>
      <c r="Q26" s="140"/>
      <c r="R26" s="140"/>
      <c r="S26" s="140"/>
      <c r="T26" s="140"/>
      <c r="U26" s="140"/>
      <c r="V26" s="2"/>
      <c r="W26" s="116"/>
      <c r="X26" s="117"/>
      <c r="Y26" s="116"/>
      <c r="Z26" s="117"/>
      <c r="AA26" s="117"/>
      <c r="AB26" s="116"/>
      <c r="AC26" s="136"/>
      <c r="AD26" s="136"/>
    </row>
    <row r="27" spans="1:42" s="5" customFormat="1" ht="25.5" x14ac:dyDescent="0.2">
      <c r="A27" s="106" t="s">
        <v>280</v>
      </c>
      <c r="B27" s="106" t="s">
        <v>279</v>
      </c>
      <c r="C27" s="106" t="s">
        <v>281</v>
      </c>
      <c r="D27" s="103" t="s">
        <v>5</v>
      </c>
      <c r="E27" s="103" t="s">
        <v>6</v>
      </c>
      <c r="F27" s="106" t="s">
        <v>277</v>
      </c>
      <c r="G27" s="106" t="s">
        <v>278</v>
      </c>
      <c r="H27" s="201" t="s">
        <v>443</v>
      </c>
      <c r="I27" s="201" t="s">
        <v>444</v>
      </c>
      <c r="J27" s="201" t="s">
        <v>445</v>
      </c>
      <c r="K27" s="107"/>
      <c r="L27" s="107"/>
      <c r="M27" s="2"/>
      <c r="N27" s="140"/>
      <c r="O27" s="142" t="s">
        <v>280</v>
      </c>
      <c r="P27" s="143" t="s">
        <v>284</v>
      </c>
      <c r="Q27" s="143" t="s">
        <v>10</v>
      </c>
      <c r="R27" s="143" t="s">
        <v>186</v>
      </c>
      <c r="S27" s="143" t="s">
        <v>187</v>
      </c>
      <c r="T27" s="143" t="s">
        <v>188</v>
      </c>
      <c r="U27" s="143" t="s">
        <v>189</v>
      </c>
      <c r="V27" s="15"/>
      <c r="W27" s="156" t="str">
        <f>O27</f>
        <v>Job
Code</v>
      </c>
      <c r="X27" s="157" t="str">
        <f>C27</f>
        <v>Salary
Grade</v>
      </c>
      <c r="Y27" s="156" t="str">
        <f>D27</f>
        <v>Classification</v>
      </c>
      <c r="Z27" s="157" t="str">
        <f>Q27</f>
        <v>Step 1</v>
      </c>
      <c r="AA27" s="157" t="str">
        <f>R27</f>
        <v>Step 2</v>
      </c>
      <c r="AB27" s="157" t="str">
        <f>S27</f>
        <v>Step 3</v>
      </c>
      <c r="AC27" s="157" t="str">
        <f>T27</f>
        <v>Step 4</v>
      </c>
      <c r="AD27" s="157" t="str">
        <f>U27</f>
        <v>Step 5</v>
      </c>
    </row>
    <row r="28" spans="1:42" s="5" customFormat="1" x14ac:dyDescent="0.2">
      <c r="A28" s="29" t="s">
        <v>388</v>
      </c>
      <c r="B28" s="29" t="s">
        <v>184</v>
      </c>
      <c r="C28" s="4">
        <v>38</v>
      </c>
      <c r="D28" s="132" t="s">
        <v>389</v>
      </c>
      <c r="E28" s="24">
        <v>263</v>
      </c>
      <c r="F28" s="25">
        <v>5</v>
      </c>
      <c r="G28" s="25" t="s">
        <v>14</v>
      </c>
      <c r="H28" s="15">
        <f>Q28</f>
        <v>23.447098144175861</v>
      </c>
      <c r="I28" s="15">
        <f>R28</f>
        <v>27.426681865244934</v>
      </c>
      <c r="J28" s="15">
        <f>S28</f>
        <v>35.412204166463006</v>
      </c>
      <c r="K28" s="26"/>
      <c r="L28" s="26"/>
      <c r="M28" s="108"/>
      <c r="N28" s="148" t="s">
        <v>377</v>
      </c>
      <c r="O28" s="146" t="str">
        <f>A28</f>
        <v>52919C</v>
      </c>
      <c r="P28" s="139" t="str">
        <f>D28</f>
        <v>Auto Mechanic Trainee</v>
      </c>
      <c r="Q28" s="147">
        <v>23.447098144175861</v>
      </c>
      <c r="R28" s="147">
        <v>27.426681865244934</v>
      </c>
      <c r="S28" s="147">
        <v>35.412204166463006</v>
      </c>
      <c r="T28" s="147"/>
      <c r="U28" s="147"/>
      <c r="V28" s="2"/>
      <c r="W28" s="116" t="str">
        <f>O28</f>
        <v>52919C</v>
      </c>
      <c r="X28" s="117">
        <f>C28</f>
        <v>38</v>
      </c>
      <c r="Y28" s="116" t="str">
        <f>D28</f>
        <v>Auto Mechanic Trainee</v>
      </c>
      <c r="Z28" s="123">
        <f>ROUND(Q28,3)</f>
        <v>23.446999999999999</v>
      </c>
      <c r="AA28" s="123">
        <f>ROUND(R28,3)</f>
        <v>27.427</v>
      </c>
      <c r="AB28" s="123">
        <f>ROUND(S28,3)</f>
        <v>35.411999999999999</v>
      </c>
      <c r="AC28" s="123"/>
      <c r="AD28" s="123"/>
      <c r="AF28" s="249">
        <v>23.446999999999999</v>
      </c>
      <c r="AG28" s="249">
        <v>27.427</v>
      </c>
      <c r="AH28" s="249">
        <v>35.411999999999999</v>
      </c>
      <c r="AI28" s="249"/>
      <c r="AJ28" s="249"/>
      <c r="AL28" s="160">
        <f t="shared" ref="AL28" si="19">AF28-Z28</f>
        <v>0</v>
      </c>
      <c r="AM28" s="160">
        <f t="shared" ref="AM28" si="20">AG28-AA28</f>
        <v>0</v>
      </c>
      <c r="AN28" s="160">
        <f t="shared" ref="AN28" si="21">AH28-AB28</f>
        <v>0</v>
      </c>
      <c r="AO28" s="160">
        <f t="shared" ref="AO28" si="22">AI28-AC28</f>
        <v>0</v>
      </c>
      <c r="AP28" s="160">
        <f t="shared" ref="AP28" si="23">AJ28-AD28</f>
        <v>0</v>
      </c>
    </row>
    <row r="29" spans="1:42" s="5" customFormat="1" x14ac:dyDescent="0.2">
      <c r="A29" s="29"/>
      <c r="B29" s="29"/>
      <c r="C29" s="4"/>
      <c r="D29" s="23"/>
      <c r="E29" s="24"/>
      <c r="F29" s="24"/>
      <c r="G29" s="25"/>
      <c r="H29" s="135"/>
      <c r="I29" s="15"/>
      <c r="J29" s="135"/>
      <c r="K29" s="96"/>
      <c r="L29" s="26"/>
      <c r="M29" s="108"/>
      <c r="N29" s="148"/>
      <c r="O29" s="148"/>
      <c r="P29" s="139"/>
      <c r="Q29" s="140"/>
      <c r="R29" s="140"/>
      <c r="S29" s="140"/>
      <c r="T29" s="140"/>
      <c r="U29" s="140"/>
      <c r="V29" s="2"/>
      <c r="W29" s="116"/>
      <c r="X29" s="117"/>
      <c r="Y29" s="116"/>
      <c r="Z29" s="117"/>
      <c r="AA29" s="117"/>
      <c r="AB29" s="116"/>
      <c r="AC29" s="136"/>
      <c r="AD29" s="136"/>
    </row>
    <row r="30" spans="1:42" s="5" customFormat="1" x14ac:dyDescent="0.2">
      <c r="A30" s="29"/>
      <c r="B30" s="31"/>
      <c r="C30" s="31"/>
      <c r="D30" s="31"/>
      <c r="E30" s="82"/>
      <c r="F30" s="31"/>
      <c r="G30" s="31"/>
      <c r="H30" s="31"/>
      <c r="I30" s="31"/>
      <c r="J30" s="31"/>
      <c r="M30" s="2"/>
      <c r="N30" s="140"/>
      <c r="O30" s="139"/>
      <c r="P30" s="139"/>
      <c r="Q30" s="140"/>
      <c r="R30" s="140"/>
      <c r="S30" s="140"/>
      <c r="T30" s="140"/>
      <c r="U30" s="140"/>
      <c r="V30" s="2"/>
      <c r="W30" s="116"/>
      <c r="X30" s="117"/>
      <c r="Y30" s="116"/>
      <c r="Z30" s="117"/>
      <c r="AA30" s="117"/>
      <c r="AB30" s="116"/>
      <c r="AC30" s="136"/>
      <c r="AD30" s="136"/>
    </row>
    <row r="31" spans="1:42" x14ac:dyDescent="0.2">
      <c r="A31" s="2" t="str">
        <f>"A Supplemental Pension contribution of "&amp;TEXT(Q31,"$0.000")&amp;" per hour for all hours paid will be made to the Central Pension Fund."</f>
        <v>A Supplemental Pension contribution of $2.000 per hour for all hours paid will be made to the Central Pension Fund.</v>
      </c>
      <c r="B31" s="31"/>
      <c r="C31" s="31"/>
      <c r="D31" s="31"/>
      <c r="E31" s="82"/>
      <c r="F31" s="31"/>
      <c r="G31" s="31"/>
      <c r="H31" s="31"/>
      <c r="I31" s="31"/>
      <c r="J31" s="31"/>
      <c r="K31" s="2"/>
      <c r="L31" s="2"/>
      <c r="O31" s="139" t="s">
        <v>381</v>
      </c>
      <c r="P31" s="139" t="s">
        <v>375</v>
      </c>
      <c r="Q31" s="149">
        <v>2</v>
      </c>
      <c r="R31" s="150" t="s">
        <v>406</v>
      </c>
      <c r="W31" s="116" t="str">
        <f>O31</f>
        <v>Pension</v>
      </c>
      <c r="Z31" s="187">
        <f>ROUND(Q31,3)</f>
        <v>2</v>
      </c>
      <c r="AA31" s="187" t="str">
        <f>R31</f>
        <v>Pension2024</v>
      </c>
    </row>
    <row r="32" spans="1:42"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3" s="33" customFormat="1" x14ac:dyDescent="0.2">
      <c r="A33" s="36" t="s">
        <v>416</v>
      </c>
      <c r="E33" s="83"/>
      <c r="K33" s="34"/>
      <c r="L33" s="34"/>
      <c r="N33" s="140"/>
      <c r="O33" s="151"/>
      <c r="P33" s="151"/>
      <c r="Q33" s="140"/>
      <c r="R33" s="140"/>
      <c r="S33" s="140"/>
      <c r="T33" s="140"/>
      <c r="U33" s="140"/>
      <c r="W33" s="125"/>
      <c r="X33" s="117"/>
      <c r="Y33" s="125"/>
      <c r="Z33" s="117"/>
      <c r="AA33" s="117"/>
      <c r="AB33" s="125"/>
      <c r="AC33" s="125"/>
      <c r="AD33" s="125"/>
    </row>
    <row r="34" spans="1:33" x14ac:dyDescent="0.2">
      <c r="A34" s="36" t="s">
        <v>46</v>
      </c>
      <c r="F34" s="4"/>
      <c r="G34" s="35"/>
      <c r="H34" s="35"/>
      <c r="I34" s="35"/>
      <c r="J34" s="4"/>
    </row>
    <row r="35" spans="1:33"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3"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3" x14ac:dyDescent="0.2">
      <c r="A37" s="39" t="str">
        <f>"Paver (Blaw Knox &amp; Gilcrest), Brokk, or Curb Machine, they shall be paid a premium of "&amp;TEXT(Q37,"$0.000")&amp;" per hour for all hours on the equipment."</f>
        <v>Paver (Blaw Knox &amp; Gilcrest), Brokk, or Curb Machine, they shall be paid a premium of $1.348 per hour for all hours on the equipment.</v>
      </c>
      <c r="B37" s="33"/>
      <c r="C37" s="33"/>
      <c r="D37" s="33"/>
      <c r="G37"/>
      <c r="H37"/>
      <c r="I37" s="33"/>
      <c r="J37" s="33"/>
      <c r="K37" s="33"/>
      <c r="M37" s="33"/>
      <c r="N37" s="140" t="s">
        <v>377</v>
      </c>
      <c r="O37" s="139" t="s">
        <v>351</v>
      </c>
      <c r="P37" s="139" t="s">
        <v>352</v>
      </c>
      <c r="Q37" s="147">
        <f>IF($N37="Y",VLOOKUP($O37,Data2023,Q$6,0)*PercIncr2024,VLOOKUP($O37,Data2023,Q$6,0))</f>
        <v>1.3483897229687494</v>
      </c>
      <c r="W37" s="116" t="str">
        <f>O37</f>
        <v>CEQEQB</v>
      </c>
      <c r="Y37" s="116" t="str">
        <f>P37</f>
        <v>TL-Equipment B-CEQ</v>
      </c>
      <c r="Z37" s="123">
        <f>Q37</f>
        <v>1.3483897229687494</v>
      </c>
      <c r="AF37" s="2">
        <v>1.3480000000000001</v>
      </c>
      <c r="AG37" s="160">
        <f>AF37-Z37</f>
        <v>-3.8972296874928425E-4</v>
      </c>
    </row>
    <row r="38" spans="1:33"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3"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3" x14ac:dyDescent="0.2">
      <c r="A40" s="39" t="str">
        <f>"Hydraulic Boom Crane (Carry Deck), or Boring Machine, they shall be paid a premium of "&amp;TEXT(Q40,"$0.000")&amp;" per  hour for all hours on the equipment."</f>
        <v>Hydraulic Boom Crane (Carry Deck), or Boring Machine, they shall be paid a premium of $2.206 per  hour for all hours on the equipment.</v>
      </c>
      <c r="B40" s="33"/>
      <c r="C40" s="33"/>
      <c r="D40" s="33"/>
      <c r="G40"/>
      <c r="H40"/>
      <c r="I40" s="33"/>
      <c r="J40" s="33"/>
      <c r="K40" s="33"/>
      <c r="N40" s="140" t="s">
        <v>377</v>
      </c>
      <c r="O40" s="139" t="s">
        <v>350</v>
      </c>
      <c r="P40" s="139" t="s">
        <v>349</v>
      </c>
      <c r="Q40" s="147">
        <f>IF($N40="Y",VLOOKUP($O40,Data2023,Q$6,0)*PercIncr2024,VLOOKUP($O40,Data2023,Q$6,0))</f>
        <v>2.2064559103124992</v>
      </c>
      <c r="W40" s="116" t="str">
        <f>O40</f>
        <v>CEQEQC</v>
      </c>
      <c r="Y40" s="116" t="str">
        <f>P40</f>
        <v>TL-Equipment C-CEQ</v>
      </c>
      <c r="Z40" s="123">
        <f>Q40</f>
        <v>2.2064559103124992</v>
      </c>
      <c r="AF40" s="2">
        <v>2.206</v>
      </c>
      <c r="AG40" s="160">
        <f>AF40-Z40</f>
        <v>-4.5591031249925251E-4</v>
      </c>
    </row>
    <row r="41" spans="1:33"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3"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3" x14ac:dyDescent="0.2">
      <c r="A43" s="91" t="s">
        <v>415</v>
      </c>
      <c r="C43" s="41"/>
      <c r="D43" s="19"/>
      <c r="E43" s="80"/>
      <c r="F43" s="19"/>
      <c r="G43"/>
      <c r="H43"/>
      <c r="I43" s="37"/>
      <c r="J43" s="37"/>
      <c r="Q43" s="147"/>
    </row>
    <row r="44" spans="1:33" x14ac:dyDescent="0.2">
      <c r="A44" s="19" t="str">
        <f>TEXT(Q44,"$0.000")&amp;" per hour shall be paid to all employees while operating a Class 'A' - combination vehicle as defined by Federal DOT regulations. "</f>
        <v xml:space="preserve">$2.021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IF($N44="Y",VLOOKUP($O44,Data2023,Q$6,0)*PercIncr2024,VLOOKUP($O44,Data2023,Q$6,0))</f>
        <v>2.0214702127812494</v>
      </c>
      <c r="W44" s="116" t="str">
        <f>O44</f>
        <v>CEQSPE</v>
      </c>
      <c r="Y44" s="116" t="str">
        <f>P44</f>
        <v>TL-Special Endorsement-CEQ</v>
      </c>
      <c r="Z44" s="123">
        <f>Q44</f>
        <v>2.0214702127812494</v>
      </c>
      <c r="AF44" s="2">
        <v>2.0209999999999999</v>
      </c>
      <c r="AG44" s="160">
        <f>AF44-Z44</f>
        <v>-4.7021278124947941E-4</v>
      </c>
    </row>
    <row r="45" spans="1:33" x14ac:dyDescent="0.2">
      <c r="A45" s="2" t="s">
        <v>215</v>
      </c>
      <c r="C45" s="41"/>
      <c r="D45" s="19"/>
      <c r="E45" s="80"/>
      <c r="F45" s="19"/>
      <c r="G45" s="19"/>
      <c r="H45" s="37"/>
      <c r="I45" s="37"/>
      <c r="J45" s="37"/>
    </row>
    <row r="46" spans="1:33"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3" s="33" customFormat="1" x14ac:dyDescent="0.2">
      <c r="A47" s="43" t="s">
        <v>414</v>
      </c>
      <c r="B47" s="44"/>
      <c r="E47" s="83"/>
      <c r="K47" s="45"/>
      <c r="L47" s="34"/>
      <c r="N47" s="140"/>
      <c r="O47" s="151"/>
      <c r="P47" s="151"/>
      <c r="Q47" s="140"/>
      <c r="R47" s="140"/>
      <c r="S47" s="140"/>
      <c r="T47" s="140"/>
      <c r="U47" s="140"/>
      <c r="W47" s="125"/>
      <c r="X47" s="117"/>
      <c r="Y47" s="125"/>
      <c r="Z47" s="117"/>
      <c r="AA47" s="117"/>
      <c r="AB47" s="125"/>
      <c r="AC47" s="125"/>
      <c r="AD47" s="125"/>
    </row>
    <row r="48" spans="1:33"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3" s="33" customFormat="1" x14ac:dyDescent="0.2">
      <c r="A49" s="39" t="str">
        <f>"of Plant Repair Worker, Plant Operator, and Blacksmith to receive an additional "&amp;TEXT(Q49,"$0.000")&amp;" per hour for attaining and"</f>
        <v>of Plant Repair Worker, Plant Operator, and Blacksmith to receive an additional $0.337 per hour for attaining and</v>
      </c>
      <c r="E49" s="83"/>
      <c r="L49" s="34"/>
      <c r="N49" s="140" t="s">
        <v>377</v>
      </c>
      <c r="O49" s="151" t="s">
        <v>342</v>
      </c>
      <c r="P49" s="151" t="s">
        <v>341</v>
      </c>
      <c r="Q49" s="147">
        <f>IF($N49="Y",VLOOKUP($O49,Data2023,Q$6,0)*PercIncr2024,VLOOKUP($O49,Data2023,Q$6,0))</f>
        <v>0.33654024490624984</v>
      </c>
      <c r="R49" s="140"/>
      <c r="S49" s="140"/>
      <c r="T49" s="140"/>
      <c r="U49" s="140"/>
      <c r="W49" s="116" t="str">
        <f>O49</f>
        <v>CEQHAZ</v>
      </c>
      <c r="X49" s="117"/>
      <c r="Y49" s="116" t="str">
        <f>P49</f>
        <v>Haz-Mat Certification</v>
      </c>
      <c r="Z49" s="123">
        <f>Q49</f>
        <v>0.33654024490624984</v>
      </c>
      <c r="AA49" s="117"/>
      <c r="AB49" s="125"/>
      <c r="AC49" s="125"/>
      <c r="AD49" s="125"/>
      <c r="AF49" s="2">
        <v>0.33700000000000002</v>
      </c>
      <c r="AG49" s="160">
        <f>AF49-Z49</f>
        <v>4.5975509375018042E-4</v>
      </c>
    </row>
    <row r="50" spans="1:33"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3"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3"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3"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3"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3"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3"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3"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3" s="33" customFormat="1" x14ac:dyDescent="0.2">
      <c r="A58" s="47" t="str">
        <f>"Level A (as defined by OSHA) - "&amp;TEXT(Q58,"$0.000")&amp;" per hour"</f>
        <v>Level A (as defined by OSHA) - $2.106 per hour</v>
      </c>
      <c r="E58" s="83"/>
      <c r="F58"/>
      <c r="G58"/>
      <c r="K58" s="34"/>
      <c r="L58" s="34"/>
      <c r="N58" s="140" t="s">
        <v>377</v>
      </c>
      <c r="O58" s="151" t="s">
        <v>345</v>
      </c>
      <c r="P58" s="151" t="s">
        <v>343</v>
      </c>
      <c r="Q58" s="147">
        <f>IF($N58="Y",VLOOKUP($O58,Data2023,Q$6,0)*PercIncr2024,VLOOKUP($O58,Data2023,Q$6,0))</f>
        <v>2.1061809548036008</v>
      </c>
      <c r="R58" s="140"/>
      <c r="S58" s="140"/>
      <c r="T58" s="140"/>
      <c r="U58" s="140"/>
      <c r="W58" s="116" t="str">
        <f>O58</f>
        <v>CEQOPA</v>
      </c>
      <c r="X58" s="117"/>
      <c r="Y58" s="116" t="str">
        <f t="shared" ref="Y58:Z60" si="24">P58</f>
        <v>TL-OSHA Prot Equip A-CEQ</v>
      </c>
      <c r="Z58" s="123">
        <f t="shared" si="24"/>
        <v>2.1061809548036008</v>
      </c>
      <c r="AA58" s="117"/>
      <c r="AB58" s="125"/>
      <c r="AC58" s="125"/>
      <c r="AD58" s="125"/>
      <c r="AF58" s="2">
        <v>2.1059999999999999</v>
      </c>
      <c r="AG58" s="160">
        <f t="shared" ref="AG58:AG60" si="25">AF58-Z58</f>
        <v>-1.8095480360091898E-4</v>
      </c>
    </row>
    <row r="59" spans="1:33" s="33" customFormat="1" x14ac:dyDescent="0.2">
      <c r="A59" s="47" t="str">
        <f>"Level B (as defined by OSHA) - "&amp;TEXT(Q59,"$0.000")&amp;" per hour"</f>
        <v>Level B (as defined by OSHA) - $1.515 per hour</v>
      </c>
      <c r="E59" s="83"/>
      <c r="F59"/>
      <c r="G59"/>
      <c r="K59" s="34"/>
      <c r="L59" s="34"/>
      <c r="N59" s="140" t="s">
        <v>377</v>
      </c>
      <c r="O59" s="151" t="s">
        <v>346</v>
      </c>
      <c r="P59" s="151" t="s">
        <v>344</v>
      </c>
      <c r="Q59" s="147">
        <f>IF($N59="Y",VLOOKUP($O59,Data2023,Q$6,0)*PercIncr2024,VLOOKUP($O59,Data2023,Q$6,0))</f>
        <v>1.5150205040427998</v>
      </c>
      <c r="R59" s="140"/>
      <c r="S59" s="140"/>
      <c r="T59" s="140"/>
      <c r="U59" s="140"/>
      <c r="W59" s="116" t="str">
        <f>O59</f>
        <v>CEQOPB</v>
      </c>
      <c r="X59" s="117"/>
      <c r="Y59" s="116" t="str">
        <f t="shared" si="24"/>
        <v>TL-OSHA Prot Equip B-CEQ</v>
      </c>
      <c r="Z59" s="123">
        <f t="shared" si="24"/>
        <v>1.5150205040427998</v>
      </c>
      <c r="AA59" s="117"/>
      <c r="AB59" s="125"/>
      <c r="AC59" s="125"/>
      <c r="AD59" s="125"/>
      <c r="AF59" s="2">
        <v>1.5149999999999999</v>
      </c>
      <c r="AG59" s="160">
        <f t="shared" si="25"/>
        <v>-2.0504042799851518E-5</v>
      </c>
    </row>
    <row r="60" spans="1:33" x14ac:dyDescent="0.2">
      <c r="A60" s="47" t="str">
        <f>"Level C (as defined by OSHA) - "&amp;TEXT(Q60,"$0.000")&amp;" per hour"</f>
        <v>Level C (as defined by OSHA) - $1.010 per hour</v>
      </c>
      <c r="B60" s="20"/>
      <c r="C60" s="19"/>
      <c r="D60" s="19"/>
      <c r="E60" s="80"/>
      <c r="F60"/>
      <c r="G60"/>
      <c r="H60" s="37"/>
      <c r="I60" s="37"/>
      <c r="J60" s="37"/>
      <c r="K60" s="50"/>
      <c r="N60" s="140" t="s">
        <v>377</v>
      </c>
      <c r="O60" s="139" t="s">
        <v>326</v>
      </c>
      <c r="P60" s="139" t="s">
        <v>325</v>
      </c>
      <c r="Q60" s="147">
        <f>IF($N60="Y",VLOOKUP($O60,Data2023,Q$6,0)*PercIncr2024,VLOOKUP($O60,Data2023,Q$6,0))</f>
        <v>1.0104719332771848</v>
      </c>
      <c r="W60" s="116" t="str">
        <f>O60</f>
        <v>CEQOPC</v>
      </c>
      <c r="Y60" s="116" t="str">
        <f t="shared" si="24"/>
        <v>TL-OSHA Prot Equip C-CEQ</v>
      </c>
      <c r="Z60" s="123">
        <f t="shared" si="24"/>
        <v>1.0104719332771848</v>
      </c>
      <c r="AF60" s="2">
        <v>1.01</v>
      </c>
      <c r="AG60" s="160">
        <f t="shared" si="25"/>
        <v>-4.7193327718475508E-4</v>
      </c>
    </row>
    <row r="61" spans="1:33" x14ac:dyDescent="0.2">
      <c r="A61" s="39"/>
      <c r="B61" s="20"/>
      <c r="C61" s="19"/>
      <c r="D61" s="19"/>
      <c r="E61" s="80"/>
      <c r="H61" s="37"/>
      <c r="I61" s="37"/>
      <c r="J61" s="37"/>
      <c r="K61" s="50"/>
      <c r="Q61" s="152"/>
    </row>
    <row r="62" spans="1:33" x14ac:dyDescent="0.2">
      <c r="A62" s="173" t="s">
        <v>426</v>
      </c>
      <c r="B62" s="174"/>
      <c r="C62" s="175"/>
      <c r="D62" s="19"/>
      <c r="E62" s="80"/>
      <c r="H62" s="37"/>
      <c r="I62" s="37"/>
      <c r="J62" s="37"/>
      <c r="K62" s="50"/>
      <c r="Q62" s="152"/>
    </row>
    <row r="63" spans="1:33" x14ac:dyDescent="0.2">
      <c r="A63" s="176" t="s">
        <v>427</v>
      </c>
      <c r="B63" s="177"/>
      <c r="C63" s="178"/>
      <c r="D63" s="19"/>
      <c r="E63" s="19"/>
      <c r="F63" s="19"/>
      <c r="G63" s="19"/>
      <c r="H63" s="37"/>
      <c r="I63" s="37"/>
      <c r="J63" s="37"/>
      <c r="Q63" s="152"/>
    </row>
    <row r="64" spans="1:33" x14ac:dyDescent="0.2">
      <c r="A64" s="179" t="s">
        <v>428</v>
      </c>
      <c r="B64" s="177"/>
      <c r="C64" s="177"/>
      <c r="D64" s="19"/>
      <c r="E64" s="19"/>
      <c r="F64" s="19"/>
      <c r="G64" s="19"/>
      <c r="H64" s="37"/>
      <c r="I64" s="37"/>
      <c r="J64" s="37"/>
      <c r="Q64" s="152"/>
    </row>
    <row r="65" spans="1:30" x14ac:dyDescent="0.2">
      <c r="A65" s="180"/>
      <c r="B65" s="177" t="s">
        <v>10</v>
      </c>
      <c r="C65" s="181" t="s">
        <v>442</v>
      </c>
      <c r="D65" s="19"/>
      <c r="E65" s="19"/>
      <c r="F65" s="19"/>
      <c r="G65" s="19"/>
      <c r="H65" s="37"/>
      <c r="I65" s="37"/>
      <c r="J65" s="37"/>
      <c r="N65" s="140" t="s">
        <v>377</v>
      </c>
      <c r="O65" s="182" t="s">
        <v>369</v>
      </c>
      <c r="P65" s="182" t="s">
        <v>370</v>
      </c>
      <c r="Q65" s="183">
        <f>IF($N65="Y",VLOOKUP($O65,Data2023,Q$6,0)*PercIncr2024,VLOOKUP($O65,Data2023,Q$6,0))</f>
        <v>0.84750827865615996</v>
      </c>
      <c r="W65" s="185" t="str">
        <f>O65</f>
        <v>CEQWLC</v>
      </c>
      <c r="X65" s="186"/>
      <c r="Y65" s="185" t="str">
        <f>P65</f>
        <v>Welding Certification - Core</v>
      </c>
      <c r="Z65" s="187">
        <f>Q65</f>
        <v>0.84750827865615996</v>
      </c>
    </row>
    <row r="66" spans="1:30" x14ac:dyDescent="0.2">
      <c r="A66" s="177"/>
      <c r="B66" s="177" t="s">
        <v>186</v>
      </c>
      <c r="C66" s="181" t="s">
        <v>429</v>
      </c>
      <c r="D66" s="19"/>
      <c r="E66" s="19"/>
      <c r="F66" s="19"/>
      <c r="G66" s="19"/>
      <c r="H66" s="53"/>
      <c r="I66" s="37"/>
      <c r="J66" s="37"/>
      <c r="O66" s="182"/>
      <c r="P66" s="182"/>
      <c r="Q66" s="184"/>
      <c r="W66" s="185"/>
      <c r="X66" s="186"/>
      <c r="Y66" s="185"/>
      <c r="Z66" s="186"/>
    </row>
    <row r="67" spans="1:30" x14ac:dyDescent="0.2">
      <c r="A67" s="177"/>
      <c r="B67" s="177" t="s">
        <v>187</v>
      </c>
      <c r="C67" s="181" t="s">
        <v>430</v>
      </c>
      <c r="D67" s="19"/>
      <c r="E67" s="19"/>
      <c r="F67" s="19"/>
      <c r="G67" s="19"/>
      <c r="I67" s="37"/>
      <c r="J67" s="37"/>
      <c r="K67" s="50"/>
      <c r="N67" s="140" t="s">
        <v>377</v>
      </c>
      <c r="O67" s="182" t="s">
        <v>365</v>
      </c>
      <c r="P67" s="182" t="s">
        <v>366</v>
      </c>
      <c r="Q67" s="183">
        <f>IF($N67="Y",VLOOKUP($O67,Data2023,Q$6,0)*PercIncr2024,VLOOKUP($O67,Data2023,Q$6,0))</f>
        <v>0.84750827865615996</v>
      </c>
      <c r="W67" s="185" t="str">
        <f>O67</f>
        <v>CEQWLS</v>
      </c>
      <c r="X67" s="186"/>
      <c r="Y67" s="185" t="str">
        <f>P67</f>
        <v>Welding Cert - Supplemental</v>
      </c>
      <c r="Z67" s="187">
        <f>Q67</f>
        <v>0.84750827865615996</v>
      </c>
    </row>
    <row r="68" spans="1:30" x14ac:dyDescent="0.2">
      <c r="A68" s="177"/>
      <c r="B68" s="177" t="s">
        <v>188</v>
      </c>
      <c r="C68" s="181" t="s">
        <v>431</v>
      </c>
      <c r="D68" s="19"/>
      <c r="E68" s="19"/>
      <c r="F68" s="19"/>
      <c r="G68" s="19"/>
      <c r="I68" s="37"/>
      <c r="J68" s="37"/>
      <c r="K68" s="50"/>
      <c r="N68" s="140" t="s">
        <v>377</v>
      </c>
      <c r="O68" s="182" t="s">
        <v>367</v>
      </c>
      <c r="P68" s="182" t="s">
        <v>368</v>
      </c>
      <c r="Q68" s="183">
        <f>IF($N69="Y",VLOOKUP($O68,Data2023,Q$6,0)*PercIncr2024,VLOOKUP($O68,Data2023,Q$6,0))</f>
        <v>0.84750827865615996</v>
      </c>
      <c r="W68" s="185"/>
      <c r="X68" s="186"/>
      <c r="Y68" s="185"/>
      <c r="Z68" s="186"/>
    </row>
    <row r="69" spans="1:30" x14ac:dyDescent="0.2">
      <c r="A69" s="111"/>
      <c r="B69" s="115"/>
      <c r="C69" s="19"/>
      <c r="E69" s="2"/>
      <c r="F69" s="19"/>
      <c r="G69" s="19"/>
      <c r="H69" s="37"/>
      <c r="I69" s="37"/>
      <c r="J69" s="37"/>
      <c r="N69" s="140" t="s">
        <v>377</v>
      </c>
      <c r="O69" s="182" t="s">
        <v>401</v>
      </c>
      <c r="P69" s="182" t="s">
        <v>402</v>
      </c>
      <c r="Q69" s="183">
        <f>Q68</f>
        <v>0.84750827865615996</v>
      </c>
      <c r="W69" s="185" t="str">
        <f>O68</f>
        <v>CEQWL6</v>
      </c>
      <c r="X69" s="186"/>
      <c r="Y69" s="185" t="str">
        <f>P68</f>
        <v>Welding Cert-Supplemental 6</v>
      </c>
      <c r="Z69" s="187">
        <f>Q68</f>
        <v>0.84750827865615996</v>
      </c>
    </row>
    <row r="70" spans="1:30" x14ac:dyDescent="0.2">
      <c r="A70" s="173" t="s">
        <v>438</v>
      </c>
      <c r="B70" s="188"/>
      <c r="C70" s="19"/>
      <c r="D70" s="19"/>
      <c r="E70" s="80"/>
      <c r="F70" s="19"/>
      <c r="G70" s="19"/>
      <c r="H70" s="37"/>
      <c r="I70" s="37"/>
      <c r="J70" s="19"/>
      <c r="Q70" s="147"/>
      <c r="R70" s="154"/>
      <c r="Z70" s="123"/>
    </row>
    <row r="71" spans="1:30" x14ac:dyDescent="0.2">
      <c r="A71" s="179" t="s">
        <v>432</v>
      </c>
      <c r="B71" s="176"/>
      <c r="C71" s="19"/>
      <c r="D71" s="19"/>
      <c r="E71" s="80"/>
      <c r="F71" s="19"/>
      <c r="G71" s="19"/>
    </row>
    <row r="72" spans="1:30" x14ac:dyDescent="0.2">
      <c r="A72" s="180"/>
      <c r="B72" s="177" t="s">
        <v>10</v>
      </c>
      <c r="C72" s="191" t="s">
        <v>436</v>
      </c>
      <c r="D72" s="19"/>
      <c r="E72" s="80"/>
      <c r="F72" s="19"/>
      <c r="G72" s="19"/>
      <c r="H72"/>
      <c r="I72"/>
      <c r="N72" s="192"/>
      <c r="O72" s="182"/>
      <c r="P72" s="182"/>
      <c r="Q72" s="183"/>
      <c r="R72" s="154"/>
      <c r="W72" s="185"/>
      <c r="X72" s="186"/>
      <c r="Y72" s="185"/>
      <c r="Z72" s="187"/>
    </row>
    <row r="73" spans="1:30" x14ac:dyDescent="0.2">
      <c r="A73" s="180"/>
      <c r="B73" s="177" t="s">
        <v>186</v>
      </c>
      <c r="C73" s="191" t="s">
        <v>433</v>
      </c>
      <c r="D73" s="19"/>
      <c r="E73" s="80"/>
      <c r="F73" s="19"/>
      <c r="G73" s="19"/>
      <c r="H73" s="58"/>
      <c r="I73" s="33"/>
      <c r="J73" s="33"/>
      <c r="W73" s="185"/>
      <c r="X73" s="186"/>
      <c r="Y73" s="185"/>
      <c r="Z73" s="186"/>
    </row>
    <row r="74" spans="1:30" x14ac:dyDescent="0.2">
      <c r="A74"/>
      <c r="B74" s="177" t="s">
        <v>187</v>
      </c>
      <c r="C74" s="191" t="s">
        <v>434</v>
      </c>
      <c r="D74" s="19"/>
      <c r="E74" s="80"/>
      <c r="F74" s="19"/>
      <c r="G74" s="19"/>
      <c r="H74" s="58"/>
      <c r="I74" s="33"/>
      <c r="J74" s="33"/>
      <c r="W74" s="185"/>
      <c r="X74" s="186"/>
      <c r="Y74" s="185"/>
      <c r="Z74" s="186"/>
    </row>
    <row r="75" spans="1:30" x14ac:dyDescent="0.2">
      <c r="A75"/>
      <c r="B75" s="177" t="s">
        <v>188</v>
      </c>
      <c r="C75" s="191" t="s">
        <v>435</v>
      </c>
      <c r="D75" s="33"/>
      <c r="E75" s="83"/>
      <c r="F75" s="33"/>
      <c r="G75" s="33"/>
      <c r="H75"/>
      <c r="I75"/>
      <c r="J75"/>
      <c r="K75" s="60"/>
      <c r="N75" s="192"/>
      <c r="O75" s="182"/>
      <c r="P75" s="182"/>
      <c r="Q75" s="183"/>
      <c r="R75" s="194"/>
      <c r="W75" s="185"/>
      <c r="X75" s="186"/>
      <c r="Y75" s="185"/>
      <c r="Z75" s="187"/>
    </row>
    <row r="76" spans="1:30" s="33" customFormat="1" x14ac:dyDescent="0.2">
      <c r="A76" s="113"/>
      <c r="B76" s="57"/>
      <c r="E76" s="83"/>
      <c r="H76"/>
      <c r="I76"/>
      <c r="J76"/>
      <c r="K76" s="34"/>
      <c r="L76" s="34"/>
      <c r="N76" s="192"/>
      <c r="O76" s="182"/>
      <c r="P76" s="182"/>
      <c r="Q76" s="183"/>
      <c r="R76" s="194"/>
      <c r="S76" s="140"/>
      <c r="T76" s="140"/>
      <c r="U76" s="140"/>
      <c r="W76" s="185"/>
      <c r="X76" s="186"/>
      <c r="Y76" s="185"/>
      <c r="Z76" s="187"/>
      <c r="AA76" s="117"/>
      <c r="AB76" s="125"/>
      <c r="AC76" s="125"/>
      <c r="AD76" s="125"/>
    </row>
    <row r="77" spans="1:30" s="33" customFormat="1" x14ac:dyDescent="0.2">
      <c r="A77" s="113"/>
      <c r="B77" s="57"/>
      <c r="E77" s="83"/>
      <c r="H77"/>
      <c r="I77"/>
      <c r="J77"/>
      <c r="K77" s="34"/>
      <c r="L77" s="34"/>
      <c r="N77" s="192" t="s">
        <v>377</v>
      </c>
      <c r="O77" s="182" t="s">
        <v>334</v>
      </c>
      <c r="P77" s="182" t="s">
        <v>330</v>
      </c>
      <c r="Q77" s="183">
        <f>IF($N77="Y",VLOOKUP($O77,Data2023,Q$6,0)*PercIncr2024,VLOOKUP($O77,Data2023,Q$6,0))</f>
        <v>3.3900331146246399</v>
      </c>
      <c r="R77" s="194"/>
      <c r="S77" s="140"/>
      <c r="T77" s="140"/>
      <c r="U77" s="140"/>
      <c r="W77" s="185" t="str">
        <f t="shared" ref="W77:W80" si="26">O77</f>
        <v>CEQASD</v>
      </c>
      <c r="X77" s="186"/>
      <c r="Y77" s="185" t="str">
        <f t="shared" ref="Y77:Z77" si="27">P77</f>
        <v>ASE Certification - D</v>
      </c>
      <c r="Z77" s="187">
        <f t="shared" si="27"/>
        <v>3.3900331146246399</v>
      </c>
      <c r="AA77" s="117"/>
      <c r="AB77" s="125"/>
      <c r="AC77" s="125"/>
      <c r="AD77" s="125"/>
    </row>
    <row r="78" spans="1:30" s="33" customFormat="1" x14ac:dyDescent="0.2">
      <c r="A78" s="113"/>
      <c r="B78" s="57"/>
      <c r="E78" s="83"/>
      <c r="H78"/>
      <c r="I78"/>
      <c r="J78"/>
      <c r="K78" s="34"/>
      <c r="L78" s="34"/>
      <c r="N78" s="192"/>
      <c r="O78" s="182" t="s">
        <v>423</v>
      </c>
      <c r="P78" s="182" t="s">
        <v>335</v>
      </c>
      <c r="Q78" s="193">
        <f>Q72*5</f>
        <v>0</v>
      </c>
      <c r="R78" s="194" t="s">
        <v>407</v>
      </c>
      <c r="S78" s="140"/>
      <c r="T78" s="140"/>
      <c r="U78" s="140"/>
      <c r="W78" s="185" t="str">
        <f t="shared" si="26"/>
        <v>CEQAS1</v>
      </c>
      <c r="X78" s="186"/>
      <c r="Y78" s="185" t="str">
        <f t="shared" ref="Y78:Z80" si="28">P78</f>
        <v>ASE Certification - E</v>
      </c>
      <c r="Z78" s="187">
        <f t="shared" si="28"/>
        <v>0</v>
      </c>
      <c r="AA78" s="117"/>
      <c r="AB78" s="125"/>
      <c r="AC78" s="125"/>
      <c r="AD78" s="125"/>
    </row>
    <row r="79" spans="1:30" s="33" customFormat="1" x14ac:dyDescent="0.2">
      <c r="A79" s="113"/>
      <c r="B79" s="57"/>
      <c r="E79" s="83"/>
      <c r="H79"/>
      <c r="I79"/>
      <c r="J79"/>
      <c r="K79" s="34"/>
      <c r="L79" s="34"/>
      <c r="N79" s="192"/>
      <c r="O79" s="182" t="s">
        <v>424</v>
      </c>
      <c r="P79" s="182" t="s">
        <v>336</v>
      </c>
      <c r="Q79" s="193">
        <f>Q72*6</f>
        <v>0</v>
      </c>
      <c r="R79" s="194" t="s">
        <v>407</v>
      </c>
      <c r="S79" s="140"/>
      <c r="T79" s="140"/>
      <c r="U79" s="140"/>
      <c r="W79" s="185" t="str">
        <f t="shared" si="26"/>
        <v>CEQAS2</v>
      </c>
      <c r="X79" s="186"/>
      <c r="Y79" s="185" t="str">
        <f t="shared" si="28"/>
        <v>ASE Certification - F</v>
      </c>
      <c r="Z79" s="187">
        <f t="shared" si="28"/>
        <v>0</v>
      </c>
      <c r="AA79" s="117"/>
      <c r="AB79" s="125"/>
      <c r="AC79" s="125"/>
      <c r="AD79" s="125"/>
    </row>
    <row r="80" spans="1:30" s="33" customFormat="1" x14ac:dyDescent="0.2">
      <c r="A80" s="113"/>
      <c r="B80" s="57"/>
      <c r="E80" s="83"/>
      <c r="H80"/>
      <c r="I80"/>
      <c r="J80"/>
      <c r="K80" s="34"/>
      <c r="L80" s="34"/>
      <c r="N80" s="192"/>
      <c r="O80" s="182" t="s">
        <v>425</v>
      </c>
      <c r="P80" s="182" t="s">
        <v>337</v>
      </c>
      <c r="Q80" s="193">
        <f>Q72*7</f>
        <v>0</v>
      </c>
      <c r="R80" s="194" t="s">
        <v>407</v>
      </c>
      <c r="S80" s="140"/>
      <c r="T80" s="140"/>
      <c r="U80" s="140"/>
      <c r="W80" s="185" t="str">
        <f t="shared" si="26"/>
        <v>CEQAS3</v>
      </c>
      <c r="X80" s="186"/>
      <c r="Y80" s="185" t="str">
        <f t="shared" si="28"/>
        <v>ASE Certification - G</v>
      </c>
      <c r="Z80" s="187">
        <f t="shared" si="28"/>
        <v>0</v>
      </c>
      <c r="AA80" s="117"/>
      <c r="AB80" s="125"/>
      <c r="AC80" s="125"/>
      <c r="AD80" s="125"/>
    </row>
    <row r="81" spans="1:33"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3" s="5" customFormat="1" x14ac:dyDescent="0.2">
      <c r="A82" s="173" t="s">
        <v>413</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3" s="5" customFormat="1" x14ac:dyDescent="0.2">
      <c r="A83" s="101" t="s">
        <v>211</v>
      </c>
      <c r="B83" s="190"/>
      <c r="C83" s="190"/>
      <c r="D83" s="190"/>
      <c r="E83" s="195"/>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3" s="5" customFormat="1" x14ac:dyDescent="0.2">
      <c r="A84" s="175" t="s">
        <v>102</v>
      </c>
      <c r="B84" s="190"/>
      <c r="C84" s="190"/>
      <c r="D84" s="190"/>
      <c r="E84" s="195"/>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3" s="5" customFormat="1" x14ac:dyDescent="0.2">
      <c r="A85" s="175" t="s">
        <v>103</v>
      </c>
      <c r="B85" s="190"/>
      <c r="C85" s="190"/>
      <c r="D85" s="190"/>
      <c r="E85" s="195"/>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3" s="5" customFormat="1" x14ac:dyDescent="0.2">
      <c r="A86" s="175" t="s">
        <v>104</v>
      </c>
      <c r="B86" s="190"/>
      <c r="C86" s="190"/>
      <c r="D86" s="190"/>
      <c r="E86" s="195"/>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3" s="5" customFormat="1" x14ac:dyDescent="0.2">
      <c r="A87" s="175" t="s">
        <v>439</v>
      </c>
      <c r="B87" s="190"/>
      <c r="C87" s="190"/>
      <c r="D87" s="190"/>
      <c r="E87" s="195"/>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3" s="5" customFormat="1" x14ac:dyDescent="0.2">
      <c r="A88" s="196" t="s">
        <v>294</v>
      </c>
      <c r="B88" s="175" t="str">
        <f>"If an employee shows proof of successfully passing any ten (10) of the ASE tests: "&amp;TEXT(Q88,"$#,##0.000")&amp;"/hour"</f>
        <v>If an employee shows proof of successfully passing any ten (10) of the ASE tests: $0.878/hour</v>
      </c>
      <c r="C88" s="190"/>
      <c r="D88" s="190"/>
      <c r="E88" s="195"/>
      <c r="F88" s="33"/>
      <c r="G88" s="33"/>
      <c r="H88"/>
      <c r="I88"/>
      <c r="J88"/>
      <c r="K88" s="60"/>
      <c r="M88" s="2"/>
      <c r="N88" s="140" t="s">
        <v>377</v>
      </c>
      <c r="O88" s="139" t="s">
        <v>331</v>
      </c>
      <c r="P88" s="139" t="s">
        <v>327</v>
      </c>
      <c r="Q88" s="147">
        <v>0.87780000000000002</v>
      </c>
      <c r="R88" s="140"/>
      <c r="S88" s="140"/>
      <c r="T88" s="140"/>
      <c r="U88" s="140"/>
      <c r="V88" s="2"/>
      <c r="W88" s="116" t="str">
        <f>O88</f>
        <v>CEQASA</v>
      </c>
      <c r="X88" s="117"/>
      <c r="Y88" s="116" t="str">
        <f t="shared" ref="Y88:Z90" si="29">P88</f>
        <v>ASE Certification - A</v>
      </c>
      <c r="Z88" s="123">
        <f t="shared" si="29"/>
        <v>0.87780000000000002</v>
      </c>
      <c r="AA88" s="117"/>
      <c r="AB88" s="116"/>
      <c r="AC88" s="136"/>
      <c r="AD88" s="136"/>
      <c r="AF88" s="2">
        <v>0.878</v>
      </c>
      <c r="AG88" s="160">
        <f t="shared" ref="AG88:AG90" si="30">AF88-Z88</f>
        <v>1.9999999999997797E-4</v>
      </c>
    </row>
    <row r="89" spans="1:33" s="5" customFormat="1" x14ac:dyDescent="0.2">
      <c r="A89" s="196" t="s">
        <v>295</v>
      </c>
      <c r="B89" s="175" t="str">
        <f>"If an employee shows proof of successfully passing any twelve (12) of the ASE tests: "&amp;TEXT(Q89,"$#,###.000")&amp;"/hour"</f>
        <v>If an employee shows proof of successfully passing any twelve (12) of the ASE tests: $1.756/hour</v>
      </c>
      <c r="C89" s="190"/>
      <c r="D89" s="190"/>
      <c r="E89" s="195"/>
      <c r="F89" s="33"/>
      <c r="G89" s="33"/>
      <c r="H89" s="55"/>
      <c r="I89" s="61"/>
      <c r="J89" s="2"/>
      <c r="K89" s="60"/>
      <c r="M89" s="2"/>
      <c r="N89" s="140" t="s">
        <v>377</v>
      </c>
      <c r="O89" s="139" t="s">
        <v>332</v>
      </c>
      <c r="P89" s="139" t="s">
        <v>328</v>
      </c>
      <c r="Q89" s="147">
        <v>1.7556</v>
      </c>
      <c r="R89" s="140"/>
      <c r="S89" s="140"/>
      <c r="T89" s="140"/>
      <c r="U89" s="140"/>
      <c r="V89" s="2"/>
      <c r="W89" s="116" t="str">
        <f>O89</f>
        <v>CEQASB</v>
      </c>
      <c r="X89" s="117"/>
      <c r="Y89" s="116" t="str">
        <f t="shared" si="29"/>
        <v>ASE Certification - B</v>
      </c>
      <c r="Z89" s="123">
        <f t="shared" si="29"/>
        <v>1.7556</v>
      </c>
      <c r="AA89" s="117"/>
      <c r="AB89" s="116"/>
      <c r="AC89" s="136"/>
      <c r="AD89" s="136"/>
      <c r="AF89" s="2">
        <v>1.756</v>
      </c>
      <c r="AG89" s="160">
        <f t="shared" si="30"/>
        <v>3.9999999999995595E-4</v>
      </c>
    </row>
    <row r="90" spans="1:33" s="5" customFormat="1" x14ac:dyDescent="0.2">
      <c r="A90" s="196" t="s">
        <v>296</v>
      </c>
      <c r="B90" s="175" t="str">
        <f>"If an employee shows proof of successfully passing any fourteen (14) of the ASE tests: "&amp;TEXT(Q90,"$#,###.000")&amp;"/hour"</f>
        <v>If an employee shows proof of successfully passing any fourteen (14) of the ASE tests: $2.633/hour</v>
      </c>
      <c r="C90" s="190"/>
      <c r="D90" s="190"/>
      <c r="E90" s="195"/>
      <c r="F90" s="33"/>
      <c r="G90" s="33"/>
      <c r="H90" s="55"/>
      <c r="I90" s="61"/>
      <c r="J90" s="2"/>
      <c r="K90" s="60"/>
      <c r="M90" s="2"/>
      <c r="N90" s="140" t="s">
        <v>377</v>
      </c>
      <c r="O90" s="139" t="s">
        <v>333</v>
      </c>
      <c r="P90" s="139" t="s">
        <v>329</v>
      </c>
      <c r="Q90" s="147">
        <v>2.6334</v>
      </c>
      <c r="R90" s="140"/>
      <c r="S90" s="140"/>
      <c r="T90" s="140"/>
      <c r="U90" s="140"/>
      <c r="V90" s="2"/>
      <c r="W90" s="116" t="str">
        <f>O90</f>
        <v>CEQASC</v>
      </c>
      <c r="X90" s="117"/>
      <c r="Y90" s="116" t="str">
        <f t="shared" si="29"/>
        <v>ASE Certification - C</v>
      </c>
      <c r="Z90" s="123">
        <f t="shared" si="29"/>
        <v>2.6334</v>
      </c>
      <c r="AA90" s="117"/>
      <c r="AB90" s="116"/>
      <c r="AC90" s="136"/>
      <c r="AD90" s="136"/>
      <c r="AF90" s="2">
        <v>2.633</v>
      </c>
      <c r="AG90" s="160">
        <f t="shared" si="30"/>
        <v>-3.9999999999995595E-4</v>
      </c>
    </row>
    <row r="91" spans="1:33" s="5" customFormat="1" x14ac:dyDescent="0.2">
      <c r="A91"/>
      <c r="B91"/>
      <c r="C91"/>
      <c r="D91"/>
      <c r="E91"/>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3" s="5" customFormat="1" x14ac:dyDescent="0.2">
      <c r="A92"/>
      <c r="B92" s="197"/>
      <c r="C92" s="176" t="s">
        <v>116</v>
      </c>
      <c r="D92" s="175"/>
      <c r="E92" s="175"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3" s="5" customFormat="1" x14ac:dyDescent="0.2">
      <c r="A93"/>
      <c r="B93" s="197"/>
      <c r="C93" s="176" t="s">
        <v>118</v>
      </c>
      <c r="D93" s="175"/>
      <c r="E93" s="175" t="s">
        <v>119</v>
      </c>
      <c r="F93" s="19"/>
      <c r="H93" s="37"/>
      <c r="I93" s="37"/>
      <c r="J93" s="37"/>
      <c r="M93" s="2"/>
      <c r="N93" s="140"/>
      <c r="O93" s="139" t="s">
        <v>455</v>
      </c>
      <c r="P93" s="251" t="s">
        <v>458</v>
      </c>
      <c r="Q93" s="147">
        <v>0.878</v>
      </c>
      <c r="R93" s="162"/>
      <c r="S93" s="140"/>
      <c r="T93" s="140"/>
      <c r="U93" s="140"/>
      <c r="V93" s="2"/>
      <c r="W93" s="116" t="s">
        <v>455</v>
      </c>
      <c r="X93" s="117"/>
      <c r="Y93" s="250" t="s">
        <v>458</v>
      </c>
      <c r="Z93" s="123">
        <v>0.878</v>
      </c>
      <c r="AA93" s="117"/>
      <c r="AB93" s="116"/>
      <c r="AC93" s="136"/>
      <c r="AD93" s="136"/>
      <c r="AF93" s="2">
        <v>0.878</v>
      </c>
      <c r="AG93" s="160">
        <f t="shared" ref="AG93:AG95" si="31">AF93-Z93</f>
        <v>0</v>
      </c>
    </row>
    <row r="94" spans="1:33" s="5" customFormat="1" x14ac:dyDescent="0.2">
      <c r="A94"/>
      <c r="B94" s="197"/>
      <c r="C94" s="176" t="s">
        <v>120</v>
      </c>
      <c r="D94" s="175"/>
      <c r="E94" s="175" t="s">
        <v>121</v>
      </c>
      <c r="F94" s="19"/>
      <c r="H94" s="37"/>
      <c r="I94" s="37"/>
      <c r="J94" s="37"/>
      <c r="M94" s="2"/>
      <c r="N94" s="140"/>
      <c r="O94" s="139" t="s">
        <v>456</v>
      </c>
      <c r="P94" s="251" t="s">
        <v>459</v>
      </c>
      <c r="Q94" s="147">
        <v>1.756</v>
      </c>
      <c r="R94" s="162"/>
      <c r="S94" s="140"/>
      <c r="T94" s="140"/>
      <c r="U94" s="140"/>
      <c r="V94" s="2"/>
      <c r="W94" s="116" t="s">
        <v>456</v>
      </c>
      <c r="X94" s="117"/>
      <c r="Y94" s="250" t="s">
        <v>459</v>
      </c>
      <c r="Z94" s="123">
        <v>1.756</v>
      </c>
      <c r="AA94" s="117"/>
      <c r="AB94" s="116"/>
      <c r="AC94" s="136"/>
      <c r="AD94" s="136"/>
      <c r="AF94" s="2">
        <v>1.756</v>
      </c>
      <c r="AG94" s="160">
        <f t="shared" si="31"/>
        <v>0</v>
      </c>
    </row>
    <row r="95" spans="1:33" s="5" customFormat="1" x14ac:dyDescent="0.2">
      <c r="A95"/>
      <c r="B95" s="197"/>
      <c r="C95" s="176" t="s">
        <v>122</v>
      </c>
      <c r="D95" s="175"/>
      <c r="E95" s="175" t="s">
        <v>123</v>
      </c>
      <c r="F95" s="19"/>
      <c r="H95" s="37"/>
      <c r="I95" s="37"/>
      <c r="J95" s="37"/>
      <c r="M95" s="2"/>
      <c r="N95" s="140"/>
      <c r="O95" s="139" t="s">
        <v>457</v>
      </c>
      <c r="P95" s="251" t="s">
        <v>460</v>
      </c>
      <c r="Q95" s="147">
        <v>2.633</v>
      </c>
      <c r="R95" s="162"/>
      <c r="S95" s="140"/>
      <c r="T95" s="140"/>
      <c r="U95" s="140"/>
      <c r="V95" s="2"/>
      <c r="W95" s="116" t="s">
        <v>457</v>
      </c>
      <c r="X95" s="117"/>
      <c r="Y95" s="250" t="s">
        <v>460</v>
      </c>
      <c r="Z95" s="123">
        <v>2.633</v>
      </c>
      <c r="AA95" s="117"/>
      <c r="AB95" s="116"/>
      <c r="AC95" s="136"/>
      <c r="AD95" s="136"/>
      <c r="AF95" s="2">
        <v>2.633</v>
      </c>
      <c r="AG95" s="160">
        <f t="shared" si="31"/>
        <v>0</v>
      </c>
    </row>
    <row r="96" spans="1:33" s="5" customFormat="1" x14ac:dyDescent="0.2">
      <c r="A96"/>
      <c r="B96" s="197"/>
      <c r="C96" s="176" t="s">
        <v>124</v>
      </c>
      <c r="D96" s="175"/>
      <c r="E96" s="175"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6" t="s">
        <v>126</v>
      </c>
      <c r="D97" s="175"/>
      <c r="E97" s="175"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t="s">
        <v>128</v>
      </c>
      <c r="D98" s="175"/>
      <c r="E98" s="175"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130</v>
      </c>
      <c r="D99" s="175"/>
      <c r="E99" s="175"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97"/>
      <c r="C100" s="175"/>
      <c r="D100" s="175"/>
      <c r="E100" s="175"/>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97"/>
      <c r="C101" s="175" t="s">
        <v>132</v>
      </c>
      <c r="D101" s="175"/>
      <c r="E101" s="175"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97"/>
      <c r="C102" s="175" t="s">
        <v>134</v>
      </c>
      <c r="D102" s="175"/>
      <c r="E102" s="175"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97"/>
      <c r="C103" s="175" t="s">
        <v>136</v>
      </c>
      <c r="D103" s="175"/>
      <c r="E103" s="175"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78"/>
      <c r="C104" s="175"/>
      <c r="D104" s="175"/>
      <c r="E104" s="175" t="s">
        <v>138</v>
      </c>
      <c r="F104" s="41"/>
      <c r="G104" s="41"/>
      <c r="H104" s="63"/>
      <c r="I104" s="63"/>
      <c r="J104" s="63"/>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78"/>
      <c r="C105" s="175"/>
      <c r="D105" s="175"/>
      <c r="E105" s="17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t="s">
        <v>285</v>
      </c>
      <c r="C106" s="175" t="s">
        <v>286</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287</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c r="C108" s="175" t="s">
        <v>141</v>
      </c>
      <c r="D108" s="197"/>
      <c r="E108" s="198"/>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288</v>
      </c>
      <c r="D109" s="197"/>
      <c r="E109" s="198"/>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c r="B110" s="180" t="s">
        <v>285</v>
      </c>
      <c r="C110" s="175" t="s">
        <v>289</v>
      </c>
      <c r="D110" s="197"/>
      <c r="E110" s="198"/>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x14ac:dyDescent="0.2">
      <c r="A111"/>
      <c r="B111" s="180" t="s">
        <v>285</v>
      </c>
      <c r="C111" s="175" t="s">
        <v>290</v>
      </c>
      <c r="D111" s="197"/>
      <c r="E111" s="198"/>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c r="B112" s="180" t="s">
        <v>285</v>
      </c>
      <c r="C112" s="175" t="s">
        <v>440</v>
      </c>
      <c r="D112" s="197"/>
      <c r="E112" s="198"/>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3" x14ac:dyDescent="0.2">
      <c r="A113"/>
      <c r="B113" s="180" t="s">
        <v>285</v>
      </c>
      <c r="C113" s="175" t="s">
        <v>292</v>
      </c>
      <c r="D113" s="197"/>
      <c r="E113" s="199"/>
      <c r="F113" s="19"/>
      <c r="G113" s="19"/>
      <c r="H113" s="37"/>
      <c r="I113" s="37"/>
      <c r="J113" s="37"/>
      <c r="Q113" s="147"/>
    </row>
    <row r="114" spans="1:33" x14ac:dyDescent="0.2">
      <c r="A114"/>
      <c r="B114" s="180"/>
      <c r="C114" s="175"/>
      <c r="D114" s="197"/>
      <c r="E114" s="199"/>
      <c r="F114" s="19"/>
      <c r="G114" s="19"/>
      <c r="H114" s="37"/>
      <c r="I114" s="37"/>
      <c r="J114" s="37"/>
      <c r="Q114" s="147"/>
    </row>
    <row r="115" spans="1:33" x14ac:dyDescent="0.2">
      <c r="A115" s="43" t="s">
        <v>147</v>
      </c>
      <c r="B115" s="33"/>
      <c r="C115" s="33"/>
      <c r="D115" s="33"/>
      <c r="E115" s="83"/>
      <c r="F115" s="33"/>
      <c r="G115" s="33"/>
      <c r="H115" s="33"/>
      <c r="I115" s="33"/>
      <c r="J115" s="33"/>
      <c r="Q115" s="147"/>
    </row>
    <row r="116" spans="1:33" s="33" customFormat="1" x14ac:dyDescent="0.2">
      <c r="A116" s="19" t="str">
        <f>"Automotive Mechanics regularly assigned and working on an 'outside truck' shall be paid a premium of  "&amp;TEXT(Q116,"$0.000")&amp;" per hour on all compensated"</f>
        <v>Automotive Mechanics regularly assigned and working on an 'outside truck' shall be paid a premium of  $1.123 per hour on all compensated</v>
      </c>
      <c r="B116" s="20"/>
      <c r="C116" s="19"/>
      <c r="D116" s="19"/>
      <c r="E116" s="80"/>
      <c r="F116" s="19"/>
      <c r="G116" s="19"/>
      <c r="H116" s="2"/>
      <c r="I116"/>
      <c r="J116"/>
      <c r="K116" s="45"/>
      <c r="L116" s="34"/>
      <c r="N116" s="140" t="s">
        <v>377</v>
      </c>
      <c r="O116" s="151" t="s">
        <v>353</v>
      </c>
      <c r="P116" s="151" t="s">
        <v>354</v>
      </c>
      <c r="Q116" s="147">
        <f>IF($N116="Y",VLOOKUP($O116,Data2023,Q$6,0)*PercIncr2024,VLOOKUP($O116,Data2023,Q$6,0))</f>
        <v>1.1232866452499994</v>
      </c>
      <c r="R116" s="140"/>
      <c r="S116" s="140"/>
      <c r="T116" s="140"/>
      <c r="U116" s="140"/>
      <c r="W116" s="116" t="str">
        <f>O116</f>
        <v>CEQOTR</v>
      </c>
      <c r="X116" s="117"/>
      <c r="Y116" s="116" t="str">
        <f>P116</f>
        <v>TL-Outside Truck Premium-CEQ</v>
      </c>
      <c r="Z116" s="123">
        <f>Q116</f>
        <v>1.1232866452499994</v>
      </c>
      <c r="AA116" s="117"/>
      <c r="AB116" s="125"/>
      <c r="AC116" s="125"/>
      <c r="AD116" s="125"/>
      <c r="AF116" s="2">
        <v>1.123</v>
      </c>
      <c r="AG116" s="160">
        <f t="shared" ref="AG116" si="32">AF116-Z116</f>
        <v>-2.8664524999943986E-4</v>
      </c>
    </row>
    <row r="117" spans="1:33" x14ac:dyDescent="0.2">
      <c r="A117" s="19" t="str">
        <f>"hours. Automotive Mechanics temporarily assigned on an 'outside truck' shall be paid a premium of "&amp;TEXT(Q116,"$0.000")&amp;" per hour for hours worked."</f>
        <v>hours. Automotive Mechanics temporarily assigned on an 'outside truck' shall be paid a premium of $1.123 per hour for hours worked.</v>
      </c>
      <c r="B117" s="20"/>
      <c r="C117" s="19"/>
      <c r="D117" s="19"/>
      <c r="E117" s="80"/>
      <c r="F117" s="19"/>
      <c r="G117" s="19"/>
      <c r="I117"/>
      <c r="J117"/>
      <c r="Q117" s="147"/>
    </row>
    <row r="118" spans="1:33" s="33" customFormat="1" x14ac:dyDescent="0.2">
      <c r="A118" s="39"/>
      <c r="E118" s="83"/>
      <c r="K118" s="45"/>
      <c r="L118" s="34"/>
      <c r="N118" s="140"/>
      <c r="O118" s="151"/>
      <c r="P118" s="151"/>
      <c r="Q118" s="147"/>
      <c r="R118" s="140"/>
      <c r="S118" s="140"/>
      <c r="T118" s="140"/>
      <c r="U118" s="140"/>
      <c r="W118" s="125"/>
      <c r="X118" s="117"/>
      <c r="Y118" s="125"/>
      <c r="Z118" s="117"/>
      <c r="AA118" s="117"/>
      <c r="AB118" s="125"/>
      <c r="AC118" s="125"/>
      <c r="AD118" s="125"/>
    </row>
    <row r="119" spans="1:33" s="33" customFormat="1" x14ac:dyDescent="0.2">
      <c r="A119" s="43" t="s">
        <v>153</v>
      </c>
      <c r="B119" s="20"/>
      <c r="C119" s="19"/>
      <c r="D119" s="19"/>
      <c r="E119" s="80"/>
      <c r="F119" s="19"/>
      <c r="G119" s="19"/>
      <c r="H119" s="37"/>
      <c r="I119" s="37"/>
      <c r="J119" s="37"/>
      <c r="K119" s="45"/>
      <c r="L119" s="34"/>
      <c r="N119" s="140"/>
      <c r="O119" s="151"/>
      <c r="P119" s="151"/>
      <c r="Q119" s="147"/>
      <c r="R119" s="140"/>
      <c r="S119" s="140"/>
      <c r="T119" s="140"/>
      <c r="U119" s="140"/>
      <c r="W119" s="125"/>
      <c r="X119" s="117"/>
      <c r="Y119" s="125"/>
      <c r="Z119" s="117"/>
      <c r="AA119" s="117"/>
      <c r="AB119" s="125"/>
      <c r="AC119" s="125"/>
      <c r="AD119" s="125"/>
    </row>
    <row r="120" spans="1:33" x14ac:dyDescent="0.2">
      <c r="A120" s="33" t="s">
        <v>154</v>
      </c>
      <c r="B120" s="20"/>
      <c r="C120" s="19"/>
      <c r="D120" s="19"/>
      <c r="E120" s="80"/>
      <c r="F120" s="19"/>
      <c r="G120" s="19"/>
      <c r="H120" s="37"/>
      <c r="I120" s="37"/>
      <c r="J120" s="37"/>
      <c r="Q120" s="147"/>
    </row>
    <row r="121" spans="1:33" x14ac:dyDescent="0.2">
      <c r="A121" s="109" t="str">
        <f>TEXT(Q121,"$0.000")&amp;" per hour for all hours worked where a 'spotter' or a harness  is required to perform the job in a safe manner."</f>
        <v>$0.540 per hour for all hours worked where a 'spotter' or a harness  is required to perform the job in a safe manner.</v>
      </c>
      <c r="B121" s="66"/>
      <c r="C121" s="33"/>
      <c r="D121" s="33"/>
      <c r="E121" s="83"/>
      <c r="F121" s="33"/>
      <c r="G121" s="33"/>
      <c r="H121" s="33"/>
      <c r="I121" s="33"/>
      <c r="J121" s="37"/>
      <c r="N121" s="140" t="s">
        <v>377</v>
      </c>
      <c r="O121" s="139" t="s">
        <v>355</v>
      </c>
      <c r="P121" s="139" t="s">
        <v>356</v>
      </c>
      <c r="Q121" s="147">
        <f>IF($N121="Y",VLOOKUP($O121,Data2023,Q$6,0)*PercIncr2024,VLOOKUP($O121,Data2023,Q$6,0))</f>
        <v>0.54047026085937488</v>
      </c>
      <c r="W121" s="116" t="str">
        <f>O121</f>
        <v>CEQCNF</v>
      </c>
      <c r="Y121" s="116" t="str">
        <f>P121</f>
        <v>TL-Confined Space Entry-CEQ</v>
      </c>
      <c r="Z121" s="123">
        <f>Q121</f>
        <v>0.54047026085937488</v>
      </c>
      <c r="AF121" s="2">
        <v>0.54</v>
      </c>
      <c r="AG121" s="160">
        <f t="shared" ref="AG121" si="33">AF121-Z121</f>
        <v>-4.7026085937484918E-4</v>
      </c>
    </row>
    <row r="122" spans="1:33" x14ac:dyDescent="0.2">
      <c r="A122" s="39" t="s">
        <v>156</v>
      </c>
      <c r="B122" s="33"/>
      <c r="C122" s="33"/>
      <c r="D122" s="33"/>
      <c r="E122" s="83"/>
      <c r="F122" s="33"/>
      <c r="G122" s="33"/>
      <c r="H122" s="33"/>
      <c r="I122" s="33"/>
      <c r="J122" s="33"/>
      <c r="Q122" s="147"/>
    </row>
    <row r="123" spans="1:33" s="33" customFormat="1" x14ac:dyDescent="0.2">
      <c r="A123" s="39" t="s">
        <v>157</v>
      </c>
      <c r="E123" s="83"/>
      <c r="K123" s="34"/>
      <c r="L123" s="34"/>
      <c r="N123" s="140"/>
      <c r="O123" s="151"/>
      <c r="P123" s="151"/>
      <c r="Q123" s="147"/>
      <c r="R123" s="140"/>
      <c r="S123" s="140"/>
      <c r="T123" s="140"/>
      <c r="U123" s="140"/>
      <c r="W123" s="125"/>
      <c r="X123" s="117"/>
      <c r="Y123" s="125"/>
      <c r="Z123" s="117"/>
      <c r="AA123" s="117"/>
      <c r="AB123" s="125"/>
      <c r="AC123" s="125"/>
      <c r="AD123" s="125"/>
    </row>
    <row r="124" spans="1:33" s="33" customFormat="1" x14ac:dyDescent="0.2">
      <c r="A124" s="39"/>
      <c r="B124" s="66"/>
      <c r="C124" s="66"/>
      <c r="E124" s="83"/>
      <c r="K124" s="45"/>
      <c r="L124" s="34"/>
      <c r="N124" s="140"/>
      <c r="O124" s="151"/>
      <c r="P124" s="151"/>
      <c r="Q124" s="147"/>
      <c r="R124" s="140"/>
      <c r="S124" s="140"/>
      <c r="T124" s="140"/>
      <c r="U124" s="140"/>
      <c r="W124" s="125"/>
      <c r="X124" s="117"/>
      <c r="Y124" s="125"/>
      <c r="Z124" s="117"/>
      <c r="AA124" s="117"/>
      <c r="AB124" s="125"/>
      <c r="AC124" s="125"/>
      <c r="AD124" s="125"/>
    </row>
    <row r="125" spans="1:33" s="33" customFormat="1" x14ac:dyDescent="0.2">
      <c r="A125" s="43" t="s">
        <v>158</v>
      </c>
      <c r="B125" s="44"/>
      <c r="E125" s="83"/>
      <c r="K125" s="34"/>
      <c r="L125" s="34"/>
      <c r="N125" s="140"/>
      <c r="O125" s="151"/>
      <c r="P125" s="151"/>
      <c r="Q125" s="147"/>
      <c r="R125" s="140"/>
      <c r="S125" s="140"/>
      <c r="T125" s="140"/>
      <c r="U125" s="140"/>
      <c r="W125" s="125"/>
      <c r="X125" s="117"/>
      <c r="Y125" s="125"/>
      <c r="Z125" s="117"/>
      <c r="AA125" s="117"/>
      <c r="AB125" s="125"/>
      <c r="AC125" s="125"/>
      <c r="AD125" s="125"/>
    </row>
    <row r="126" spans="1:33" s="33" customFormat="1" x14ac:dyDescent="0.2">
      <c r="A126" s="33" t="s">
        <v>159</v>
      </c>
      <c r="B126" s="20"/>
      <c r="C126" s="68"/>
      <c r="D126" s="19"/>
      <c r="E126" s="80"/>
      <c r="F126" s="19"/>
      <c r="G126" s="19"/>
      <c r="I126" s="37"/>
      <c r="J126" s="37"/>
      <c r="K126" s="34"/>
      <c r="L126" s="34"/>
      <c r="N126" s="140"/>
      <c r="O126" s="151"/>
      <c r="P126" s="151"/>
      <c r="Q126" s="147"/>
      <c r="R126" s="140"/>
      <c r="S126" s="140"/>
      <c r="T126" s="140"/>
      <c r="U126" s="140"/>
      <c r="W126" s="125"/>
      <c r="X126" s="117"/>
      <c r="Y126" s="125"/>
      <c r="Z126" s="117"/>
      <c r="AA126" s="117"/>
      <c r="AB126" s="125"/>
      <c r="AC126" s="125"/>
      <c r="AD126" s="125"/>
    </row>
    <row r="127" spans="1:33" x14ac:dyDescent="0.2">
      <c r="A127" s="111" t="s">
        <v>306</v>
      </c>
      <c r="B127" s="2" t="s">
        <v>441</v>
      </c>
      <c r="D127" s="19"/>
      <c r="E127" s="80"/>
      <c r="F127" s="19"/>
      <c r="G127" s="19"/>
      <c r="H127" s="37"/>
      <c r="I127" s="37"/>
      <c r="J127" s="37"/>
      <c r="Q127" s="147"/>
    </row>
    <row r="128" spans="1:33" x14ac:dyDescent="0.2">
      <c r="A128" s="111" t="s">
        <v>307</v>
      </c>
      <c r="B128" s="2" t="s">
        <v>310</v>
      </c>
      <c r="D128" s="41"/>
      <c r="E128" s="85"/>
      <c r="F128" s="41"/>
      <c r="G128" s="41"/>
      <c r="H128" s="63"/>
      <c r="I128" s="63"/>
      <c r="J128" s="63"/>
      <c r="Q128" s="147"/>
    </row>
    <row r="129" spans="1:33" x14ac:dyDescent="0.2">
      <c r="A129" s="111" t="s">
        <v>308</v>
      </c>
      <c r="B129" s="2" t="s">
        <v>311</v>
      </c>
      <c r="D129" s="41"/>
      <c r="E129" s="85"/>
      <c r="F129" s="41"/>
      <c r="G129" s="41"/>
      <c r="H129" s="63"/>
      <c r="I129" s="63"/>
      <c r="J129" s="63"/>
      <c r="Q129" s="147"/>
    </row>
    <row r="130" spans="1:33" x14ac:dyDescent="0.2">
      <c r="A130" s="111" t="s">
        <v>315</v>
      </c>
      <c r="B130" s="2" t="s">
        <v>312</v>
      </c>
      <c r="D130" s="41"/>
      <c r="E130" s="85"/>
      <c r="F130" s="41"/>
      <c r="G130" s="41"/>
      <c r="H130" s="63"/>
      <c r="I130" s="63"/>
      <c r="J130" s="63"/>
      <c r="Q130" s="147"/>
    </row>
    <row r="131" spans="1:33" x14ac:dyDescent="0.2">
      <c r="A131" s="111" t="s">
        <v>316</v>
      </c>
      <c r="B131" s="2" t="s">
        <v>313</v>
      </c>
      <c r="D131" s="41"/>
      <c r="E131" s="85"/>
      <c r="F131" s="41"/>
      <c r="G131" s="41"/>
      <c r="H131" s="63"/>
      <c r="I131" s="63"/>
      <c r="J131" s="63"/>
      <c r="Q131" s="147"/>
    </row>
    <row r="132" spans="1:33" x14ac:dyDescent="0.2">
      <c r="A132" s="112" t="s">
        <v>317</v>
      </c>
      <c r="B132" s="2" t="s">
        <v>314</v>
      </c>
      <c r="D132" s="41"/>
      <c r="E132" s="85"/>
      <c r="F132" s="41"/>
      <c r="G132" s="41"/>
      <c r="H132" s="63"/>
      <c r="I132" s="63"/>
      <c r="J132" s="63"/>
      <c r="Q132" s="147"/>
    </row>
    <row r="133" spans="1:33" x14ac:dyDescent="0.2">
      <c r="A133" s="19"/>
      <c r="B133" s="69"/>
      <c r="C133" s="41"/>
      <c r="D133" s="41"/>
      <c r="E133" s="85"/>
      <c r="F133" s="41"/>
      <c r="G133" s="41"/>
      <c r="H133" s="63"/>
      <c r="I133" s="63"/>
      <c r="J133" s="63"/>
      <c r="Q133" s="147"/>
    </row>
    <row r="134" spans="1:33" x14ac:dyDescent="0.2">
      <c r="A134" s="70" t="s">
        <v>408</v>
      </c>
      <c r="B134" s="69"/>
      <c r="C134" s="41"/>
      <c r="D134" s="41"/>
      <c r="E134" s="85"/>
      <c r="F134" s="41"/>
      <c r="G134" s="41"/>
      <c r="H134" s="63"/>
      <c r="I134" s="63"/>
      <c r="J134" s="63"/>
      <c r="Q134" s="147"/>
    </row>
    <row r="135" spans="1:33" x14ac:dyDescent="0.2">
      <c r="A135" s="39" t="s">
        <v>167</v>
      </c>
      <c r="B135" s="69"/>
      <c r="C135" s="41"/>
      <c r="D135" s="41"/>
      <c r="E135" s="85"/>
      <c r="F135" s="41"/>
      <c r="G135" s="41"/>
      <c r="H135" s="37"/>
      <c r="I135" s="37"/>
      <c r="J135" s="37"/>
      <c r="Q135" s="147"/>
    </row>
    <row r="136" spans="1:33" x14ac:dyDescent="0.2">
      <c r="A136" s="71"/>
      <c r="B136" s="20"/>
      <c r="C136" s="19"/>
      <c r="D136" s="19"/>
      <c r="E136" s="80"/>
      <c r="F136" s="19"/>
      <c r="G136" s="19"/>
      <c r="H136" s="37"/>
      <c r="I136" s="37"/>
      <c r="J136" s="37"/>
      <c r="Q136" s="147"/>
    </row>
    <row r="137" spans="1:33" x14ac:dyDescent="0.2">
      <c r="A137" s="70" t="s">
        <v>409</v>
      </c>
      <c r="B137" s="20"/>
      <c r="C137" s="19"/>
      <c r="D137" s="19"/>
      <c r="E137" s="80"/>
      <c r="F137" s="19"/>
      <c r="G137" s="19"/>
      <c r="H137" s="37"/>
      <c r="I137" s="37"/>
      <c r="J137" s="37"/>
      <c r="Q137" s="147"/>
    </row>
    <row r="138" spans="1:33" x14ac:dyDescent="0.2">
      <c r="A138" s="102" t="s">
        <v>218</v>
      </c>
      <c r="B138" s="20"/>
      <c r="C138" s="19"/>
      <c r="D138" s="19"/>
      <c r="E138" s="80"/>
      <c r="F138" s="19"/>
      <c r="G138" s="19"/>
      <c r="H138" s="37"/>
      <c r="I138" s="37"/>
      <c r="J138" s="37"/>
      <c r="N138" s="140" t="s">
        <v>377</v>
      </c>
      <c r="O138" s="139" t="s">
        <v>357</v>
      </c>
      <c r="P138" s="139" t="s">
        <v>358</v>
      </c>
      <c r="Q138" s="147">
        <f>IF($N138="Y",VLOOKUP($O138,Data2023,Q$6,0)*PercIncr2024,VLOOKUP($O138,Data2023,Q$6,0))</f>
        <v>1.6202964109062494</v>
      </c>
      <c r="W138" s="116" t="str">
        <f>O138</f>
        <v>CEQEVE</v>
      </c>
      <c r="Y138" s="116" t="str">
        <f t="shared" ref="Y138:Z140" si="34">P138</f>
        <v>TL-Evening Shift Premium-CEQ</v>
      </c>
      <c r="Z138" s="123">
        <f t="shared" si="34"/>
        <v>1.6202964109062494</v>
      </c>
      <c r="AF138" s="2">
        <v>1.62</v>
      </c>
      <c r="AG138" s="160">
        <f t="shared" ref="AG138:AG140" si="35">AF138-Z138</f>
        <v>-2.9641090624932254E-4</v>
      </c>
    </row>
    <row r="139" spans="1:33" x14ac:dyDescent="0.2">
      <c r="A139" s="102" t="str">
        <f>"schedule that includes a Saturday or Sunday shall be paid a night/weekend shift differential of "&amp;TEXT(Q139,"$0.000")&amp;" per hour for all hours worked on the qualified shift,"</f>
        <v>schedule that includes a Saturday or Sunday shall be paid a night/weekend shift differential of $1.620 per hour for all hours worked on the qualified shift,</v>
      </c>
      <c r="B139" s="20"/>
      <c r="C139" s="19"/>
      <c r="D139" s="19"/>
      <c r="E139" s="80"/>
      <c r="F139" s="19"/>
      <c r="G139" s="19"/>
      <c r="H139" s="37"/>
      <c r="I139" s="37"/>
      <c r="J139" s="37"/>
      <c r="N139" s="140" t="s">
        <v>377</v>
      </c>
      <c r="O139" s="139" t="s">
        <v>359</v>
      </c>
      <c r="P139" s="139" t="s">
        <v>360</v>
      </c>
      <c r="Q139" s="147">
        <f>IF($N139="Y",VLOOKUP($O139,Data2023,Q$6,0)*PercIncr2024,VLOOKUP($O139,Data2023,Q$6,0))</f>
        <v>1.6202964109062494</v>
      </c>
      <c r="W139" s="116" t="str">
        <f>O139</f>
        <v>CEQAM1</v>
      </c>
      <c r="Y139" s="116" t="str">
        <f t="shared" si="34"/>
        <v>TL-Morning Shift Premium CEQ</v>
      </c>
      <c r="Z139" s="123">
        <f t="shared" si="34"/>
        <v>1.6202964109062494</v>
      </c>
      <c r="AF139" s="2">
        <v>1.62</v>
      </c>
      <c r="AG139" s="160">
        <f t="shared" si="35"/>
        <v>-2.9641090624932254E-4</v>
      </c>
    </row>
    <row r="140" spans="1:33" x14ac:dyDescent="0.2">
      <c r="A140" s="19" t="s">
        <v>220</v>
      </c>
      <c r="B140" s="20"/>
      <c r="C140" s="19"/>
      <c r="D140" s="19"/>
      <c r="E140" s="80"/>
      <c r="F140" s="19"/>
      <c r="G140" s="19"/>
      <c r="H140" s="37"/>
      <c r="I140" s="37"/>
      <c r="J140" s="37"/>
      <c r="N140" s="140" t="s">
        <v>377</v>
      </c>
      <c r="O140" s="139" t="s">
        <v>361</v>
      </c>
      <c r="P140" s="139" t="s">
        <v>362</v>
      </c>
      <c r="Q140" s="147">
        <f>IF($N140="Y",VLOOKUP($O140,Data2023,Q$6,0)*PercIncr2024,VLOOKUP($O140,Data2023,Q$6,0))</f>
        <v>1.6202964109062494</v>
      </c>
      <c r="W140" s="116" t="str">
        <f>O140</f>
        <v>CEQWKE</v>
      </c>
      <c r="Y140" s="116" t="str">
        <f t="shared" si="34"/>
        <v>TL-Weekend Shift-CEQ</v>
      </c>
      <c r="Z140" s="123">
        <f t="shared" si="34"/>
        <v>1.6202964109062494</v>
      </c>
      <c r="AF140" s="2">
        <v>1.62</v>
      </c>
      <c r="AG140" s="160">
        <f t="shared" si="35"/>
        <v>-2.9641090624932254E-4</v>
      </c>
    </row>
    <row r="141" spans="1:33" x14ac:dyDescent="0.2">
      <c r="A141" s="19" t="s">
        <v>221</v>
      </c>
      <c r="B141" s="20"/>
      <c r="C141" s="19"/>
      <c r="D141" s="19"/>
      <c r="E141" s="80"/>
      <c r="F141" s="19"/>
      <c r="G141" s="19"/>
      <c r="H141" s="37"/>
      <c r="I141" s="37"/>
      <c r="J141" s="37"/>
      <c r="Q141" s="147"/>
    </row>
    <row r="142" spans="1:33" x14ac:dyDescent="0.2">
      <c r="A142" s="72"/>
      <c r="B142" s="33"/>
      <c r="C142" s="33"/>
      <c r="D142" s="33"/>
      <c r="E142" s="83"/>
      <c r="F142" s="33"/>
      <c r="G142" s="33"/>
      <c r="H142" s="33"/>
      <c r="I142" s="33"/>
      <c r="J142" s="33"/>
      <c r="Q142" s="147"/>
    </row>
    <row r="143" spans="1:33" x14ac:dyDescent="0.2">
      <c r="A143" s="70" t="s">
        <v>410</v>
      </c>
      <c r="B143" s="33"/>
      <c r="C143" s="33"/>
      <c r="D143" s="33"/>
      <c r="E143" s="83"/>
      <c r="F143" s="33"/>
      <c r="G143" s="33"/>
      <c r="H143" s="33"/>
      <c r="I143" s="33"/>
      <c r="J143" s="33"/>
      <c r="Q143" s="147"/>
    </row>
    <row r="144" spans="1:33" s="33" customFormat="1" x14ac:dyDescent="0.2">
      <c r="A144" s="57" t="s">
        <v>217</v>
      </c>
      <c r="E144" s="83"/>
      <c r="K144" s="34"/>
      <c r="L144" s="34"/>
      <c r="N144" s="140"/>
      <c r="O144" s="151"/>
      <c r="P144" s="151"/>
      <c r="Q144" s="147"/>
      <c r="R144" s="140"/>
      <c r="S144" s="140"/>
      <c r="T144" s="140"/>
      <c r="U144" s="140"/>
      <c r="W144" s="125"/>
      <c r="X144" s="117"/>
      <c r="Y144" s="125"/>
      <c r="Z144" s="117"/>
      <c r="AA144" s="117"/>
      <c r="AB144" s="125"/>
      <c r="AC144" s="125"/>
      <c r="AD144" s="125"/>
    </row>
    <row r="145" spans="1:33" s="33" customFormat="1" x14ac:dyDescent="0.2">
      <c r="A145" s="39" t="s">
        <v>173</v>
      </c>
      <c r="B145" s="72"/>
      <c r="C145" s="72"/>
      <c r="D145" s="72"/>
      <c r="E145" s="87"/>
      <c r="F145" s="73"/>
      <c r="G145" s="73"/>
      <c r="H145" s="37"/>
      <c r="I145" s="37"/>
      <c r="J145" s="55"/>
      <c r="K145" s="45"/>
      <c r="L145" s="34"/>
      <c r="N145" s="140"/>
      <c r="O145" s="151" t="s">
        <v>171</v>
      </c>
      <c r="P145" s="151"/>
      <c r="Q145" s="147"/>
      <c r="R145" s="140"/>
      <c r="S145" s="140"/>
      <c r="T145" s="140"/>
      <c r="U145" s="140"/>
      <c r="W145" s="155" t="s">
        <v>171</v>
      </c>
      <c r="X145" s="117"/>
      <c r="Y145" s="125"/>
      <c r="Z145" s="117"/>
      <c r="AA145" s="117"/>
      <c r="AB145" s="125"/>
      <c r="AC145" s="125"/>
      <c r="AD145" s="125"/>
    </row>
    <row r="146" spans="1:33" x14ac:dyDescent="0.2">
      <c r="A146" s="110">
        <f>Q146</f>
        <v>0.27859291796874991</v>
      </c>
      <c r="B146" s="57" t="s">
        <v>174</v>
      </c>
      <c r="C146" s="72"/>
      <c r="D146" s="72"/>
      <c r="E146" s="87"/>
      <c r="F146" s="73"/>
      <c r="G146" s="73"/>
      <c r="H146" s="37"/>
      <c r="I146" s="37"/>
      <c r="J146" s="55"/>
      <c r="N146" s="140" t="s">
        <v>377</v>
      </c>
      <c r="O146" s="139" t="s">
        <v>371</v>
      </c>
      <c r="Q146" s="147">
        <f>IF($N146="Y",VLOOKUP($O146,Data2023,Q$6,0)*PercIncr2024,VLOOKUP($O146,Data2023,Q$6,0))</f>
        <v>0.27859291796874991</v>
      </c>
      <c r="W146" s="116" t="str">
        <f>O146</f>
        <v>10th</v>
      </c>
      <c r="Y146" s="116" t="str">
        <f>O146</f>
        <v>10th</v>
      </c>
      <c r="Z146" s="123">
        <f t="shared" ref="Z146:Z149" si="36">Q146</f>
        <v>0.27859291796874991</v>
      </c>
      <c r="AF146" s="2">
        <v>0.27900000000000003</v>
      </c>
      <c r="AG146" s="160">
        <f t="shared" ref="AG146:AG149" si="37">AF146-Z146</f>
        <v>4.0708203125011666E-4</v>
      </c>
    </row>
    <row r="147" spans="1:33" s="5" customFormat="1" x14ac:dyDescent="0.2">
      <c r="A147" s="110">
        <f>Q147</f>
        <v>0.46915047385937486</v>
      </c>
      <c r="B147" s="57" t="s">
        <v>175</v>
      </c>
      <c r="C147" s="72"/>
      <c r="D147" s="72"/>
      <c r="E147" s="87"/>
      <c r="F147" s="73"/>
      <c r="G147" s="73"/>
      <c r="H147" s="37"/>
      <c r="I147" s="37"/>
      <c r="J147" s="55"/>
      <c r="K147" s="50"/>
      <c r="M147" s="2"/>
      <c r="N147" s="140" t="s">
        <v>377</v>
      </c>
      <c r="O147" s="139" t="s">
        <v>372</v>
      </c>
      <c r="P147" s="139"/>
      <c r="Q147" s="147">
        <f>IF($N147="Y",VLOOKUP($O147,Data2023,Q$6,0)*PercIncr2024,VLOOKUP($O147,Data2023,Q$6,0))</f>
        <v>0.46915047385937486</v>
      </c>
      <c r="R147" s="140"/>
      <c r="S147" s="140"/>
      <c r="T147" s="140"/>
      <c r="U147" s="140"/>
      <c r="V147" s="2"/>
      <c r="W147" s="116" t="str">
        <f>O147</f>
        <v>15th</v>
      </c>
      <c r="X147" s="117"/>
      <c r="Y147" s="116" t="str">
        <f t="shared" ref="Y147:Y149" si="38">O147</f>
        <v>15th</v>
      </c>
      <c r="Z147" s="123">
        <f t="shared" si="36"/>
        <v>0.46915047385937486</v>
      </c>
      <c r="AA147" s="117"/>
      <c r="AB147" s="116"/>
      <c r="AC147" s="136"/>
      <c r="AD147" s="136"/>
      <c r="AF147" s="2">
        <v>0.46899999999999997</v>
      </c>
      <c r="AG147" s="160">
        <f t="shared" si="37"/>
        <v>-1.5047385937488889E-4</v>
      </c>
    </row>
    <row r="148" spans="1:33" s="5" customFormat="1" x14ac:dyDescent="0.2">
      <c r="A148" s="110">
        <f>Q148</f>
        <v>0.55495709259374992</v>
      </c>
      <c r="B148" s="57" t="s">
        <v>176</v>
      </c>
      <c r="C148" s="72"/>
      <c r="D148" s="72"/>
      <c r="E148" s="87"/>
      <c r="F148" s="73"/>
      <c r="G148" s="73"/>
      <c r="H148" s="37"/>
      <c r="I148" s="37"/>
      <c r="J148" s="55"/>
      <c r="K148" s="50"/>
      <c r="M148" s="2"/>
      <c r="N148" s="140" t="s">
        <v>377</v>
      </c>
      <c r="O148" s="139" t="s">
        <v>373</v>
      </c>
      <c r="P148" s="139"/>
      <c r="Q148" s="147">
        <f>IF($N148="Y",VLOOKUP($O148,Data2023,Q$6,0)*PercIncr2024,VLOOKUP($O148,Data2023,Q$6,0))</f>
        <v>0.55495709259374992</v>
      </c>
      <c r="R148" s="140"/>
      <c r="S148" s="140"/>
      <c r="T148" s="140"/>
      <c r="U148" s="140"/>
      <c r="V148" s="2"/>
      <c r="W148" s="116" t="str">
        <f>O148</f>
        <v>20th</v>
      </c>
      <c r="X148" s="117"/>
      <c r="Y148" s="116" t="str">
        <f t="shared" si="38"/>
        <v>20th</v>
      </c>
      <c r="Z148" s="123">
        <f t="shared" si="36"/>
        <v>0.55495709259374992</v>
      </c>
      <c r="AA148" s="117"/>
      <c r="AB148" s="116"/>
      <c r="AC148" s="136"/>
      <c r="AD148" s="136"/>
      <c r="AF148" s="2">
        <v>0.55500000000000005</v>
      </c>
      <c r="AG148" s="160">
        <f t="shared" si="37"/>
        <v>4.2907406250125568E-5</v>
      </c>
    </row>
    <row r="149" spans="1:33" s="5" customFormat="1" x14ac:dyDescent="0.2">
      <c r="A149" s="110">
        <f>Q149</f>
        <v>0.79789011706249968</v>
      </c>
      <c r="B149" s="57" t="s">
        <v>177</v>
      </c>
      <c r="C149" s="72"/>
      <c r="D149" s="72"/>
      <c r="E149" s="87"/>
      <c r="F149" s="73"/>
      <c r="G149" s="73"/>
      <c r="H149" s="37"/>
      <c r="I149" s="37"/>
      <c r="J149" s="55"/>
      <c r="K149" s="50"/>
      <c r="M149" s="2"/>
      <c r="N149" s="140" t="s">
        <v>377</v>
      </c>
      <c r="O149" s="139" t="s">
        <v>374</v>
      </c>
      <c r="P149" s="139"/>
      <c r="Q149" s="147">
        <f>IF($N149="Y",VLOOKUP($O149,Data2023,Q$6,0)*PercIncr2024,VLOOKUP($O149,Data2023,Q$6,0))</f>
        <v>0.79789011706249968</v>
      </c>
      <c r="R149" s="140"/>
      <c r="S149" s="140"/>
      <c r="T149" s="140"/>
      <c r="U149" s="140"/>
      <c r="V149" s="2"/>
      <c r="W149" s="116" t="str">
        <f>O149</f>
        <v>25th</v>
      </c>
      <c r="X149" s="117"/>
      <c r="Y149" s="116" t="str">
        <f t="shared" si="38"/>
        <v>25th</v>
      </c>
      <c r="Z149" s="123">
        <f t="shared" si="36"/>
        <v>0.79789011706249968</v>
      </c>
      <c r="AA149" s="117"/>
      <c r="AB149" s="116"/>
      <c r="AC149" s="136"/>
      <c r="AD149" s="136"/>
      <c r="AF149" s="2">
        <v>0.79800000000000004</v>
      </c>
      <c r="AG149" s="160">
        <f t="shared" si="37"/>
        <v>1.0988293750036071E-4</v>
      </c>
    </row>
    <row r="150" spans="1:33" s="5" customFormat="1" x14ac:dyDescent="0.2">
      <c r="A150" s="53"/>
      <c r="B150" s="57"/>
      <c r="C150" s="72"/>
      <c r="D150" s="72"/>
      <c r="E150" s="87"/>
      <c r="F150" s="73"/>
      <c r="G150" s="73"/>
      <c r="H150" s="37"/>
      <c r="I150" s="37"/>
      <c r="J150" s="55"/>
      <c r="K150" s="50"/>
      <c r="M150" s="2"/>
      <c r="N150" s="140"/>
      <c r="O150" s="139"/>
      <c r="P150" s="139"/>
      <c r="Q150" s="147"/>
      <c r="R150" s="140"/>
      <c r="S150" s="140"/>
      <c r="T150" s="140"/>
      <c r="U150" s="140"/>
      <c r="V150" s="2"/>
      <c r="W150" s="116"/>
      <c r="X150" s="117"/>
      <c r="Y150" s="116"/>
      <c r="Z150" s="117"/>
      <c r="AA150" s="117"/>
      <c r="AB150" s="116"/>
      <c r="AC150" s="136"/>
      <c r="AD150" s="136"/>
    </row>
    <row r="151" spans="1:33" s="5" customFormat="1" x14ac:dyDescent="0.2">
      <c r="A151" s="70" t="s">
        <v>411</v>
      </c>
      <c r="B151" s="2"/>
      <c r="C151" s="2"/>
      <c r="D151" s="2"/>
      <c r="E151" s="77"/>
      <c r="F151" s="2"/>
      <c r="G151" s="2"/>
      <c r="H151" s="2"/>
      <c r="I151" s="2"/>
      <c r="J151" s="2"/>
      <c r="K151" s="50"/>
      <c r="M151" s="2"/>
      <c r="N151" s="140"/>
      <c r="O151" s="139"/>
      <c r="P151" s="139"/>
      <c r="Q151" s="147"/>
      <c r="R151" s="140"/>
      <c r="S151" s="140"/>
      <c r="T151" s="140"/>
      <c r="U151" s="140"/>
      <c r="V151" s="2"/>
      <c r="W151" s="116"/>
      <c r="X151" s="117"/>
      <c r="Y151" s="116"/>
      <c r="Z151" s="117"/>
      <c r="AA151" s="117"/>
      <c r="AB151" s="116"/>
      <c r="AC151" s="136"/>
      <c r="AD151" s="136"/>
    </row>
    <row r="152" spans="1:33" s="5" customFormat="1" x14ac:dyDescent="0.2">
      <c r="A152" s="74" t="s">
        <v>179</v>
      </c>
      <c r="B152" s="2"/>
      <c r="C152" s="2"/>
      <c r="D152" s="2"/>
      <c r="E152" s="77"/>
      <c r="F152" s="2"/>
      <c r="G152" s="2"/>
      <c r="H152" s="2"/>
      <c r="I152" s="2"/>
      <c r="J152" s="2"/>
      <c r="M152" s="2"/>
      <c r="N152" s="140"/>
      <c r="O152" s="139"/>
      <c r="P152" s="139"/>
      <c r="Q152" s="147"/>
      <c r="R152" s="140"/>
      <c r="S152" s="140"/>
      <c r="T152" s="140"/>
      <c r="U152" s="140"/>
      <c r="V152" s="2"/>
      <c r="W152" s="116"/>
      <c r="X152" s="117"/>
      <c r="Y152" s="116"/>
      <c r="Z152" s="117"/>
      <c r="AA152" s="117"/>
      <c r="AB152" s="116"/>
      <c r="AC152" s="136"/>
      <c r="AD152" s="136"/>
    </row>
    <row r="153" spans="1:33" s="5" customFormat="1" x14ac:dyDescent="0.2">
      <c r="A153" s="74" t="str">
        <f>"a training premium of "&amp;TEXT(Q153,"$0.000")&amp;" per hour for all hours shall be paid."</f>
        <v>a training premium of $3.555 per hour for all hours shall be paid.</v>
      </c>
      <c r="B153" s="2"/>
      <c r="C153" s="2"/>
      <c r="D153" s="2"/>
      <c r="E153" s="77"/>
      <c r="F153" s="2"/>
      <c r="G153" s="2"/>
      <c r="H153" s="2"/>
      <c r="I153" s="2"/>
      <c r="J153" s="2"/>
      <c r="M153" s="2"/>
      <c r="N153" s="140" t="s">
        <v>377</v>
      </c>
      <c r="O153" s="139" t="s">
        <v>363</v>
      </c>
      <c r="P153" s="139" t="s">
        <v>364</v>
      </c>
      <c r="Q153" s="147">
        <f>IF($N153="Y",VLOOKUP($O153,Data2023,Q$6,0)*PercIncr2024,VLOOKUP($O153,Data2023,Q$6,0))</f>
        <v>3.5548456332812486</v>
      </c>
      <c r="R153" s="140"/>
      <c r="S153" s="140"/>
      <c r="T153" s="140"/>
      <c r="U153" s="140"/>
      <c r="V153" s="2"/>
      <c r="W153" s="116" t="str">
        <f>O153</f>
        <v>CEQTPP</v>
      </c>
      <c r="X153" s="117"/>
      <c r="Y153" s="116" t="str">
        <f>P153</f>
        <v>TL-Training Premium Pay-CEQ</v>
      </c>
      <c r="Z153" s="123">
        <f>Q153</f>
        <v>3.5548456332812486</v>
      </c>
      <c r="AA153" s="117"/>
      <c r="AB153" s="116"/>
      <c r="AC153" s="136"/>
      <c r="AD153" s="136"/>
      <c r="AF153" s="2">
        <v>3.5550000000000002</v>
      </c>
      <c r="AG153" s="160">
        <f t="shared" ref="AG153" si="39">AF153-Z153</f>
        <v>1.5436671875157515E-4</v>
      </c>
    </row>
    <row r="154" spans="1:33" s="5" customFormat="1" x14ac:dyDescent="0.2">
      <c r="A154" s="74"/>
      <c r="B154" s="2"/>
      <c r="C154" s="2"/>
      <c r="D154" s="2"/>
      <c r="E154" s="77"/>
      <c r="F154" s="2"/>
      <c r="G154" s="2"/>
      <c r="H154" s="2"/>
      <c r="I154" s="2"/>
      <c r="J154" s="2"/>
      <c r="M154" s="2"/>
      <c r="N154" s="140"/>
      <c r="O154" s="139"/>
      <c r="P154" s="139"/>
      <c r="Q154" s="147"/>
      <c r="R154" s="140"/>
      <c r="S154" s="140"/>
      <c r="T154" s="140"/>
      <c r="U154" s="140"/>
      <c r="V154" s="2"/>
      <c r="W154" s="116"/>
      <c r="X154" s="117"/>
      <c r="Y154" s="116"/>
      <c r="Z154" s="117"/>
      <c r="AA154" s="117"/>
      <c r="AB154" s="116"/>
      <c r="AC154" s="136"/>
      <c r="AD154" s="136"/>
    </row>
    <row r="155" spans="1:33" x14ac:dyDescent="0.2">
      <c r="A155" s="70" t="s">
        <v>412</v>
      </c>
    </row>
    <row r="156" spans="1:33" x14ac:dyDescent="0.2">
      <c r="N156" s="140" t="s">
        <v>11</v>
      </c>
      <c r="O156" s="139" t="s">
        <v>461</v>
      </c>
      <c r="P156" s="139" t="s">
        <v>463</v>
      </c>
      <c r="Q156" s="147">
        <v>45</v>
      </c>
      <c r="W156" s="116" t="s">
        <v>461</v>
      </c>
      <c r="Y156" s="116" t="s">
        <v>463</v>
      </c>
      <c r="Z156" s="123">
        <f>Q156</f>
        <v>45</v>
      </c>
      <c r="AF156" s="2">
        <v>45</v>
      </c>
      <c r="AG156" s="160">
        <f t="shared" ref="AG156:AG157" si="40">AF156-Z156</f>
        <v>0</v>
      </c>
    </row>
    <row r="157" spans="1:33" x14ac:dyDescent="0.2">
      <c r="A157" s="91" t="s">
        <v>446</v>
      </c>
      <c r="N157" s="140" t="s">
        <v>11</v>
      </c>
      <c r="O157" s="139" t="s">
        <v>462</v>
      </c>
      <c r="P157" s="139" t="s">
        <v>464</v>
      </c>
      <c r="Q157" s="147">
        <v>35</v>
      </c>
      <c r="W157" s="116" t="s">
        <v>462</v>
      </c>
      <c r="Y157" s="116" t="s">
        <v>464</v>
      </c>
      <c r="Z157" s="123">
        <f>Q157</f>
        <v>35</v>
      </c>
      <c r="AF157" s="2">
        <v>35</v>
      </c>
      <c r="AG157" s="160">
        <f t="shared" si="40"/>
        <v>0</v>
      </c>
    </row>
    <row r="158" spans="1:33" x14ac:dyDescent="0.2">
      <c r="A158" s="2" t="s">
        <v>447</v>
      </c>
    </row>
    <row r="160" spans="1:33" x14ac:dyDescent="0.2">
      <c r="N160" s="140" t="s">
        <v>11</v>
      </c>
      <c r="O160" s="139" t="s">
        <v>465</v>
      </c>
      <c r="P160" s="139" t="s">
        <v>466</v>
      </c>
      <c r="Q160" s="147">
        <v>5</v>
      </c>
      <c r="R160" s="252" t="s">
        <v>467</v>
      </c>
      <c r="W160" s="116" t="str">
        <f>O160</f>
        <v>CEQCRP</v>
      </c>
      <c r="Y160" s="116" t="str">
        <f>P160</f>
        <v>Critical Response T&amp;L</v>
      </c>
      <c r="Z160" s="123">
        <f>Q160</f>
        <v>5</v>
      </c>
      <c r="AF160" s="2">
        <v>5</v>
      </c>
      <c r="AG160" s="160">
        <f t="shared" ref="AG160" si="41">AF160-Z160</f>
        <v>0</v>
      </c>
    </row>
    <row r="161" spans="2:8" x14ac:dyDescent="0.2">
      <c r="B161" s="2" t="s">
        <v>453</v>
      </c>
      <c r="E161" s="2"/>
      <c r="F161" s="77"/>
      <c r="H161" s="2" t="s">
        <v>454</v>
      </c>
    </row>
  </sheetData>
  <sheetProtection sheet="1" objects="1" scenarios="1"/>
  <phoneticPr fontId="20" type="noConversion"/>
  <pageMargins left="0.25" right="0.25" top="0.75" bottom="0.75" header="0.3" footer="0.3"/>
  <pageSetup scale="69" fitToHeight="0"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EA8BA-7613-430C-B5C5-1571DEAEE355}">
  <sheetPr codeName="Sheet13">
    <pageSetUpPr fitToPage="1"/>
  </sheetPr>
  <dimension ref="A1:AD158"/>
  <sheetViews>
    <sheetView showGridLines="0" zoomScaleNormal="100" workbookViewId="0"/>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140625" style="2" customWidth="1"/>
    <col min="11" max="12" width="13.140625" style="5" customWidth="1"/>
    <col min="13" max="13" width="6.28515625" style="2" customWidth="1"/>
    <col min="14" max="14" width="11.5703125" style="140" hidden="1" customWidth="1"/>
    <col min="15" max="15" width="8.7109375" style="139" hidden="1" customWidth="1"/>
    <col min="16" max="16" width="35.28515625" style="139" hidden="1" customWidth="1"/>
    <col min="17" max="17" width="7.7109375" style="140" hidden="1" customWidth="1"/>
    <col min="18" max="18" width="21.140625" style="140" hidden="1" customWidth="1"/>
    <col min="19" max="21" width="7.7109375" style="140" hidden="1" customWidth="1"/>
    <col min="22" max="22" width="9.140625" style="2" hidden="1" customWidth="1"/>
    <col min="23" max="23" width="9.140625" style="116" hidden="1" customWidth="1"/>
    <col min="24" max="24" width="11.7109375" style="117" hidden="1" customWidth="1"/>
    <col min="25" max="25" width="35.28515625" style="116" hidden="1" customWidth="1"/>
    <col min="26" max="26" width="7.42578125" style="117" hidden="1" customWidth="1"/>
    <col min="27" max="27" width="15.5703125" style="117" hidden="1" customWidth="1"/>
    <col min="28" max="30" width="7.42578125" style="116" hidden="1" customWidth="1"/>
    <col min="31" max="16384" width="9.140625" style="2"/>
  </cols>
  <sheetData>
    <row r="1" spans="1:30" x14ac:dyDescent="0.2">
      <c r="A1" s="2" t="s">
        <v>452</v>
      </c>
    </row>
    <row r="2" spans="1:30" x14ac:dyDescent="0.2">
      <c r="A2" s="1" t="s">
        <v>0</v>
      </c>
      <c r="D2" s="3"/>
      <c r="I2" s="4"/>
      <c r="J2" s="4"/>
      <c r="N2" s="137" t="s">
        <v>419</v>
      </c>
      <c r="O2" s="138">
        <v>1.0249999999999999</v>
      </c>
    </row>
    <row r="3" spans="1:30" x14ac:dyDescent="0.2">
      <c r="A3" s="2" t="s">
        <v>417</v>
      </c>
      <c r="D3" s="3"/>
      <c r="I3" s="4"/>
      <c r="J3" s="4"/>
      <c r="K3" s="6"/>
      <c r="N3" s="140" t="s">
        <v>418</v>
      </c>
    </row>
    <row r="4" spans="1:30" x14ac:dyDescent="0.2">
      <c r="A4" s="134" t="s">
        <v>394</v>
      </c>
      <c r="D4" s="3"/>
      <c r="I4" s="4"/>
      <c r="J4" s="4"/>
      <c r="K4" s="6"/>
    </row>
    <row r="5" spans="1:30" x14ac:dyDescent="0.2">
      <c r="A5" s="2" t="str">
        <f>'7-1-2024'!A5</f>
        <v>Last Update: July 27, 2026</v>
      </c>
      <c r="D5" s="3"/>
      <c r="I5" s="4"/>
      <c r="J5" s="4"/>
      <c r="K5" s="6"/>
    </row>
    <row r="6" spans="1:30" x14ac:dyDescent="0.2">
      <c r="A6" s="1"/>
      <c r="D6" s="3"/>
      <c r="I6" s="4"/>
      <c r="J6" s="4"/>
      <c r="Q6" s="140">
        <v>3</v>
      </c>
      <c r="R6" s="140">
        <f>Q6+1</f>
        <v>4</v>
      </c>
      <c r="S6" s="140">
        <f>R6+1</f>
        <v>5</v>
      </c>
      <c r="T6" s="140">
        <f>S6+1</f>
        <v>6</v>
      </c>
      <c r="U6" s="140">
        <f>T6+1</f>
        <v>7</v>
      </c>
    </row>
    <row r="7" spans="1:30"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4" t="s">
        <v>12</v>
      </c>
      <c r="B8" s="4" t="s">
        <v>184</v>
      </c>
      <c r="C8" s="4">
        <v>21</v>
      </c>
      <c r="D8" s="14" t="s">
        <v>13</v>
      </c>
      <c r="E8" s="4">
        <v>303</v>
      </c>
      <c r="F8" s="4">
        <v>6</v>
      </c>
      <c r="G8" s="4" t="s">
        <v>14</v>
      </c>
      <c r="H8" s="15">
        <f ca="1">Q8</f>
        <v>39.245059559032853</v>
      </c>
      <c r="I8" s="15">
        <f t="shared" ref="I8:K14" ca="1" si="0">R8</f>
        <v>40.422411345803837</v>
      </c>
      <c r="J8" s="15">
        <f t="shared" ca="1" si="0"/>
        <v>41.63508368617795</v>
      </c>
      <c r="K8" s="15">
        <f t="shared" ca="1" si="0"/>
        <v>42.884136196763293</v>
      </c>
      <c r="L8" s="93"/>
      <c r="M8" s="93"/>
      <c r="N8" s="146" t="s">
        <v>377</v>
      </c>
      <c r="O8" s="146" t="str">
        <f>A8</f>
        <v>01180C</v>
      </c>
      <c r="P8" s="166" t="str">
        <f>D8</f>
        <v>Automotive Mechanic</v>
      </c>
      <c r="Q8" s="171" cm="1">
        <f t="array" aca="1" ref="Q8" ca="1">IF($N8="Y",((VLOOKUP($O8,INDIRECT($N$3),Q$6,0)))*INDIRECT($N$2),(VLOOKUP($O8,INDIRECT($N$3),Q$6,0)))</f>
        <v>39.245059559032853</v>
      </c>
      <c r="R8" s="171" cm="1">
        <f t="array" aca="1" ref="R8" ca="1">IF($N8="Y",((VLOOKUP($O8,INDIRECT($N$3),R$6,0)))*INDIRECT($N$2),(VLOOKUP($O8,INDIRECT($N$3),R$6,0)))</f>
        <v>40.422411345803837</v>
      </c>
      <c r="S8" s="171" cm="1">
        <f t="array" aca="1" ref="S8" ca="1">IF($N8="Y",((VLOOKUP($O8,INDIRECT($N$3),S$6,0)))*INDIRECT($N$2),(VLOOKUP($O8,INDIRECT($N$3),S$6,0)))</f>
        <v>41.63508368617795</v>
      </c>
      <c r="T8" s="171" cm="1">
        <f t="array" aca="1" ref="T8" ca="1">IF($N8="Y",((VLOOKUP($O8,INDIRECT($N$3),T$6,0)))*INDIRECT($N$2),(VLOOKUP($O8,INDIRECT($N$3),T$6,0)))</f>
        <v>42.884136196763293</v>
      </c>
      <c r="W8" s="116" t="str">
        <f t="shared" ref="W8:W14" si="1">O8</f>
        <v>01180C</v>
      </c>
      <c r="X8" s="117">
        <f t="shared" ref="X8:Y14" si="2">C8</f>
        <v>21</v>
      </c>
      <c r="Y8" s="116" t="str">
        <f t="shared" si="2"/>
        <v>Automotive Mechanic</v>
      </c>
      <c r="Z8" s="123">
        <f ca="1">Q8</f>
        <v>39.245059559032853</v>
      </c>
      <c r="AA8" s="123">
        <f ca="1">R8</f>
        <v>40.422411345803837</v>
      </c>
      <c r="AB8" s="123">
        <f ca="1">S8</f>
        <v>41.63508368617795</v>
      </c>
      <c r="AC8" s="123">
        <f ca="1">T8</f>
        <v>42.884136196763293</v>
      </c>
    </row>
    <row r="9" spans="1:30" x14ac:dyDescent="0.2">
      <c r="A9" s="4" t="s">
        <v>249</v>
      </c>
      <c r="B9" s="4" t="s">
        <v>184</v>
      </c>
      <c r="C9" s="75" t="s">
        <v>194</v>
      </c>
      <c r="D9" s="3" t="s">
        <v>248</v>
      </c>
      <c r="E9" s="4">
        <v>328</v>
      </c>
      <c r="F9" s="4">
        <v>7</v>
      </c>
      <c r="G9" s="4" t="s">
        <v>14</v>
      </c>
      <c r="H9" s="15">
        <f t="shared" ref="H9:H15" ca="1" si="3">Q9</f>
        <v>43.652143197599045</v>
      </c>
      <c r="I9" s="15">
        <f t="shared" ca="1" si="0"/>
        <v>44.961707493527015</v>
      </c>
      <c r="J9" s="15">
        <f t="shared" ca="1" si="0"/>
        <v>46.310558718332828</v>
      </c>
      <c r="K9" s="15">
        <f t="shared" ca="1" si="0"/>
        <v>47.699875479882813</v>
      </c>
      <c r="L9" s="93"/>
      <c r="M9" s="93"/>
      <c r="N9" s="146" t="s">
        <v>377</v>
      </c>
      <c r="O9" s="146" t="str">
        <f t="shared" ref="O9:O14" si="4">A9</f>
        <v xml:space="preserve">52930C </v>
      </c>
      <c r="P9" s="166" t="str">
        <f t="shared" ref="P9:P14" si="5">D9</f>
        <v>Fleet Equipment Repair Coordinator</v>
      </c>
      <c r="Q9" s="171" cm="1">
        <f t="array" aca="1" ref="Q9" ca="1">IF($N9="Y",((VLOOKUP($O9,INDIRECT($N$3),Q$6,0)))*INDIRECT($N$2),(VLOOKUP($O9,INDIRECT($N$3),Q$6,0)))</f>
        <v>43.652143197599045</v>
      </c>
      <c r="R9" s="171" cm="1">
        <f t="array" aca="1" ref="R9" ca="1">IF($N9="Y",((VLOOKUP($O9,INDIRECT($N$3),R$6,0)))*INDIRECT($N$2),(VLOOKUP($O9,INDIRECT($N$3),R$6,0)))</f>
        <v>44.961707493527015</v>
      </c>
      <c r="S9" s="171" cm="1">
        <f t="array" aca="1" ref="S9" ca="1">IF($N9="Y",((VLOOKUP($O9,INDIRECT($N$3),S$6,0)))*INDIRECT($N$2),(VLOOKUP($O9,INDIRECT($N$3),S$6,0)))</f>
        <v>46.310558718332828</v>
      </c>
      <c r="T9" s="171" cm="1">
        <f t="array" aca="1" ref="T9" ca="1">IF($N9="Y",((VLOOKUP($O9,INDIRECT($N$3),T$6,0)))*INDIRECT($N$2),(VLOOKUP($O9,INDIRECT($N$3),T$6,0)))</f>
        <v>47.699875479882813</v>
      </c>
      <c r="W9" s="116" t="str">
        <f t="shared" si="1"/>
        <v xml:space="preserve">52930C </v>
      </c>
      <c r="X9" s="117" t="str">
        <f t="shared" si="2"/>
        <v>12</v>
      </c>
      <c r="Y9" s="116" t="str">
        <f t="shared" si="2"/>
        <v>Fleet Equipment Repair Coordinator</v>
      </c>
      <c r="Z9" s="123">
        <f t="shared" ref="Z9:Z15" ca="1" si="6">Q9</f>
        <v>43.652143197599045</v>
      </c>
      <c r="AA9" s="123">
        <f t="shared" ref="AA9:AA14" ca="1" si="7">R9</f>
        <v>44.961707493527015</v>
      </c>
      <c r="AB9" s="123">
        <f t="shared" ref="AB9:AB14" ca="1" si="8">S9</f>
        <v>46.310558718332828</v>
      </c>
      <c r="AC9" s="123">
        <f t="shared" ref="AC9:AC13" ca="1" si="9">T9</f>
        <v>47.699875479882813</v>
      </c>
    </row>
    <row r="10" spans="1:30" x14ac:dyDescent="0.2">
      <c r="A10" s="4" t="s">
        <v>17</v>
      </c>
      <c r="B10" s="4" t="s">
        <v>184</v>
      </c>
      <c r="C10" s="75" t="s">
        <v>194</v>
      </c>
      <c r="D10" s="3" t="s">
        <v>18</v>
      </c>
      <c r="E10" s="4">
        <v>335</v>
      </c>
      <c r="F10" s="4">
        <v>7</v>
      </c>
      <c r="G10" s="4" t="s">
        <v>14</v>
      </c>
      <c r="H10" s="15">
        <f t="shared" ca="1" si="3"/>
        <v>43.652143197599045</v>
      </c>
      <c r="I10" s="15">
        <f t="shared" ca="1" si="0"/>
        <v>44.961707493527015</v>
      </c>
      <c r="J10" s="15">
        <f t="shared" ca="1" si="0"/>
        <v>46.310558718332828</v>
      </c>
      <c r="K10" s="15">
        <f t="shared" ca="1" si="0"/>
        <v>47.699875479882813</v>
      </c>
      <c r="L10" s="93"/>
      <c r="M10" s="93"/>
      <c r="N10" s="146" t="s">
        <v>377</v>
      </c>
      <c r="O10" s="146" t="str">
        <f t="shared" si="4"/>
        <v>04520C</v>
      </c>
      <c r="P10" s="166" t="str">
        <f t="shared" si="5"/>
        <v>Foreman Auto Mechanic</v>
      </c>
      <c r="Q10" s="171" cm="1">
        <f t="array" aca="1" ref="Q10" ca="1">IF($N10="Y",((VLOOKUP($O10,INDIRECT($N$3),Q$6,0)))*INDIRECT($N$2),(VLOOKUP($O10,INDIRECT($N$3),Q$6,0)))</f>
        <v>43.652143197599045</v>
      </c>
      <c r="R10" s="171" cm="1">
        <f t="array" aca="1" ref="R10" ca="1">IF($N10="Y",((VLOOKUP($O10,INDIRECT($N$3),R$6,0)))*INDIRECT($N$2),(VLOOKUP($O10,INDIRECT($N$3),R$6,0)))</f>
        <v>44.961707493527015</v>
      </c>
      <c r="S10" s="171" cm="1">
        <f t="array" aca="1" ref="S10" ca="1">IF($N10="Y",((VLOOKUP($O10,INDIRECT($N$3),S$6,0)))*INDIRECT($N$2),(VLOOKUP($O10,INDIRECT($N$3),S$6,0)))</f>
        <v>46.310558718332828</v>
      </c>
      <c r="T10" s="171" cm="1">
        <f t="array" aca="1" ref="T10" ca="1">IF($N10="Y",((VLOOKUP($O10,INDIRECT($N$3),T$6,0)))*INDIRECT($N$2),(VLOOKUP($O10,INDIRECT($N$3),T$6,0)))</f>
        <v>47.699875479882813</v>
      </c>
      <c r="W10" s="116" t="str">
        <f t="shared" si="1"/>
        <v>04520C</v>
      </c>
      <c r="X10" s="117" t="str">
        <f t="shared" si="2"/>
        <v>12</v>
      </c>
      <c r="Y10" s="116" t="str">
        <f t="shared" si="2"/>
        <v>Foreman Auto Mechanic</v>
      </c>
      <c r="Z10" s="123">
        <f t="shared" ca="1" si="6"/>
        <v>43.652143197599045</v>
      </c>
      <c r="AA10" s="123">
        <f t="shared" ca="1" si="7"/>
        <v>44.961707493527015</v>
      </c>
      <c r="AB10" s="123">
        <f t="shared" ca="1" si="8"/>
        <v>46.310558718332828</v>
      </c>
      <c r="AC10" s="123">
        <f t="shared" ca="1" si="9"/>
        <v>47.699875479882813</v>
      </c>
    </row>
    <row r="11" spans="1:30" x14ac:dyDescent="0.2">
      <c r="A11" s="4" t="s">
        <v>21</v>
      </c>
      <c r="B11" s="4" t="s">
        <v>184</v>
      </c>
      <c r="C11" s="75" t="s">
        <v>193</v>
      </c>
      <c r="D11" s="14" t="s">
        <v>22</v>
      </c>
      <c r="E11" s="4">
        <v>295</v>
      </c>
      <c r="F11" s="4">
        <v>6</v>
      </c>
      <c r="G11" s="4" t="s">
        <v>14</v>
      </c>
      <c r="H11" s="15">
        <f t="shared" ca="1" si="3"/>
        <v>38.905202952422428</v>
      </c>
      <c r="I11" s="15">
        <f t="shared" ca="1" si="0"/>
        <v>40.072359040995096</v>
      </c>
      <c r="J11" s="15">
        <f t="shared" ca="1" si="0"/>
        <v>41.274529812224948</v>
      </c>
      <c r="K11" s="15">
        <f t="shared" ca="1" si="0"/>
        <v>42.512765706591701</v>
      </c>
      <c r="L11" s="93"/>
      <c r="M11" s="93"/>
      <c r="N11" s="146" t="s">
        <v>377</v>
      </c>
      <c r="O11" s="146" t="str">
        <f t="shared" si="4"/>
        <v>07115C</v>
      </c>
      <c r="P11" s="166" t="str">
        <f t="shared" si="5"/>
        <v>Metal Fabrication &amp; Welding Specialist</v>
      </c>
      <c r="Q11" s="171" cm="1">
        <f t="array" aca="1" ref="Q11" ca="1">IF($N11="Y",((VLOOKUP($O11,INDIRECT($N$3),Q$6,0)))*INDIRECT($N$2),(VLOOKUP($O11,INDIRECT($N$3),Q$6,0)))</f>
        <v>38.905202952422428</v>
      </c>
      <c r="R11" s="171" cm="1">
        <f t="array" aca="1" ref="R11" ca="1">IF($N11="Y",((VLOOKUP($O11,INDIRECT($N$3),R$6,0)))*INDIRECT($N$2),(VLOOKUP($O11,INDIRECT($N$3),R$6,0)))</f>
        <v>40.072359040995096</v>
      </c>
      <c r="S11" s="171" cm="1">
        <f t="array" aca="1" ref="S11" ca="1">IF($N11="Y",((VLOOKUP($O11,INDIRECT($N$3),S$6,0)))*INDIRECT($N$2),(VLOOKUP($O11,INDIRECT($N$3),S$6,0)))</f>
        <v>41.274529812224948</v>
      </c>
      <c r="T11" s="171" cm="1">
        <f t="array" aca="1" ref="T11" ca="1">IF($N11="Y",((VLOOKUP($O11,INDIRECT($N$3),T$6,0)))*INDIRECT($N$2),(VLOOKUP($O11,INDIRECT($N$3),T$6,0)))</f>
        <v>42.512765706591701</v>
      </c>
      <c r="W11" s="116" t="str">
        <f t="shared" si="1"/>
        <v>07115C</v>
      </c>
      <c r="X11" s="117" t="str">
        <f t="shared" si="2"/>
        <v>07</v>
      </c>
      <c r="Y11" s="116" t="str">
        <f t="shared" si="2"/>
        <v>Metal Fabrication &amp; Welding Specialist</v>
      </c>
      <c r="Z11" s="123">
        <f t="shared" ca="1" si="6"/>
        <v>38.905202952422428</v>
      </c>
      <c r="AA11" s="123">
        <f t="shared" ca="1" si="7"/>
        <v>40.072359040995096</v>
      </c>
      <c r="AB11" s="123">
        <f t="shared" ca="1" si="8"/>
        <v>41.274529812224948</v>
      </c>
      <c r="AC11" s="123">
        <f t="shared" ca="1" si="9"/>
        <v>42.512765706591701</v>
      </c>
    </row>
    <row r="12" spans="1:30" x14ac:dyDescent="0.2">
      <c r="A12" s="4" t="s">
        <v>255</v>
      </c>
      <c r="B12" s="4" t="s">
        <v>184</v>
      </c>
      <c r="C12" s="75" t="s">
        <v>194</v>
      </c>
      <c r="D12" s="14" t="s">
        <v>251</v>
      </c>
      <c r="E12" s="4">
        <v>328</v>
      </c>
      <c r="F12" s="4">
        <v>7</v>
      </c>
      <c r="G12" s="4" t="s">
        <v>14</v>
      </c>
      <c r="H12" s="15">
        <f t="shared" ca="1" si="3"/>
        <v>43.652143197599045</v>
      </c>
      <c r="I12" s="15">
        <f t="shared" ca="1" si="0"/>
        <v>44.961707493527015</v>
      </c>
      <c r="J12" s="15">
        <f t="shared" ca="1" si="0"/>
        <v>46.310558718332828</v>
      </c>
      <c r="K12" s="15">
        <f t="shared" ca="1" si="0"/>
        <v>47.699875479882813</v>
      </c>
      <c r="L12" s="93"/>
      <c r="M12" s="93"/>
      <c r="N12" s="146" t="s">
        <v>377</v>
      </c>
      <c r="O12" s="146" t="str">
        <f t="shared" si="4"/>
        <v>52973C</v>
      </c>
      <c r="P12" s="166" t="str">
        <f t="shared" si="5"/>
        <v>Sanitation Equipment Repair Coordinator</v>
      </c>
      <c r="Q12" s="171" cm="1">
        <f t="array" aca="1" ref="Q12" ca="1">IF($N12="Y",((VLOOKUP($O12,INDIRECT($N$3),Q$6,0)))*INDIRECT($N$2),(VLOOKUP($O12,INDIRECT($N$3),Q$6,0)))</f>
        <v>43.652143197599045</v>
      </c>
      <c r="R12" s="171" cm="1">
        <f t="array" aca="1" ref="R12" ca="1">IF($N12="Y",((VLOOKUP($O12,INDIRECT($N$3),R$6,0)))*INDIRECT($N$2),(VLOOKUP($O12,INDIRECT($N$3),R$6,0)))</f>
        <v>44.961707493527015</v>
      </c>
      <c r="S12" s="171" cm="1">
        <f t="array" aca="1" ref="S12" ca="1">IF($N12="Y",((VLOOKUP($O12,INDIRECT($N$3),S$6,0)))*INDIRECT($N$2),(VLOOKUP($O12,INDIRECT($N$3),S$6,0)))</f>
        <v>46.310558718332828</v>
      </c>
      <c r="T12" s="171" cm="1">
        <f t="array" aca="1" ref="T12" ca="1">IF($N12="Y",((VLOOKUP($O12,INDIRECT($N$3),T$6,0)))*INDIRECT($N$2),(VLOOKUP($O12,INDIRECT($N$3),T$6,0)))</f>
        <v>47.699875479882813</v>
      </c>
      <c r="W12" s="116" t="str">
        <f t="shared" si="1"/>
        <v>52973C</v>
      </c>
      <c r="X12" s="117" t="str">
        <f t="shared" si="2"/>
        <v>12</v>
      </c>
      <c r="Y12" s="116" t="str">
        <f t="shared" si="2"/>
        <v>Sanitation Equipment Repair Coordinator</v>
      </c>
      <c r="Z12" s="123">
        <f t="shared" ca="1" si="6"/>
        <v>43.652143197599045</v>
      </c>
      <c r="AA12" s="123">
        <f t="shared" ca="1" si="7"/>
        <v>44.961707493527015</v>
      </c>
      <c r="AB12" s="123">
        <f t="shared" ca="1" si="8"/>
        <v>46.310558718332828</v>
      </c>
      <c r="AC12" s="123">
        <f t="shared" ca="1" si="9"/>
        <v>47.699875479882813</v>
      </c>
    </row>
    <row r="13" spans="1:30" x14ac:dyDescent="0.2">
      <c r="A13" s="4" t="s">
        <v>23</v>
      </c>
      <c r="B13" s="4" t="s">
        <v>184</v>
      </c>
      <c r="C13" s="75" t="s">
        <v>192</v>
      </c>
      <c r="D13" s="3" t="s">
        <v>214</v>
      </c>
      <c r="E13" s="4">
        <v>295</v>
      </c>
      <c r="F13" s="4">
        <v>6</v>
      </c>
      <c r="G13" s="4" t="s">
        <v>14</v>
      </c>
      <c r="H13" s="15">
        <f t="shared" ca="1" si="3"/>
        <v>39.245059559032853</v>
      </c>
      <c r="I13" s="15">
        <f t="shared" ca="1" si="0"/>
        <v>40.422411345803837</v>
      </c>
      <c r="J13" s="15">
        <f t="shared" ca="1" si="0"/>
        <v>41.63508368617795</v>
      </c>
      <c r="K13" s="15">
        <f t="shared" ca="1" si="0"/>
        <v>42.884136196763293</v>
      </c>
      <c r="L13" s="93"/>
      <c r="M13" s="93"/>
      <c r="N13" s="146" t="s">
        <v>377</v>
      </c>
      <c r="O13" s="146" t="str">
        <f t="shared" si="4"/>
        <v>10960C</v>
      </c>
      <c r="P13" s="166" t="str">
        <f t="shared" si="5"/>
        <v>Welder, Shop</v>
      </c>
      <c r="Q13" s="171" cm="1">
        <f t="array" aca="1" ref="Q13" ca="1">IF($N13="Y",((VLOOKUP($O13,INDIRECT($N$3),Q$6,0)))*INDIRECT($N$2),(VLOOKUP($O13,INDIRECT($N$3),Q$6,0)))</f>
        <v>39.245059559032853</v>
      </c>
      <c r="R13" s="171" cm="1">
        <f t="array" aca="1" ref="R13" ca="1">IF($N13="Y",((VLOOKUP($O13,INDIRECT($N$3),R$6,0)))*INDIRECT($N$2),(VLOOKUP($O13,INDIRECT($N$3),R$6,0)))</f>
        <v>40.422411345803837</v>
      </c>
      <c r="S13" s="171" cm="1">
        <f t="array" aca="1" ref="S13" ca="1">IF($N13="Y",((VLOOKUP($O13,INDIRECT($N$3),S$6,0)))*INDIRECT($N$2),(VLOOKUP($O13,INDIRECT($N$3),S$6,0)))</f>
        <v>41.63508368617795</v>
      </c>
      <c r="T13" s="171" cm="1">
        <f t="array" aca="1" ref="T13" ca="1">IF($N13="Y",((VLOOKUP($O13,INDIRECT($N$3),T$6,0)))*INDIRECT($N$2),(VLOOKUP($O13,INDIRECT($N$3),T$6,0)))</f>
        <v>42.884136196763293</v>
      </c>
      <c r="W13" s="116" t="str">
        <f t="shared" si="1"/>
        <v>10960C</v>
      </c>
      <c r="X13" s="117" t="str">
        <f t="shared" si="2"/>
        <v>05</v>
      </c>
      <c r="Y13" s="116" t="str">
        <f t="shared" si="2"/>
        <v>Welder, Shop</v>
      </c>
      <c r="Z13" s="123">
        <f t="shared" ca="1" si="6"/>
        <v>39.245059559032853</v>
      </c>
      <c r="AA13" s="123">
        <f t="shared" ca="1" si="7"/>
        <v>40.422411345803837</v>
      </c>
      <c r="AB13" s="123">
        <f t="shared" ca="1" si="8"/>
        <v>41.63508368617795</v>
      </c>
      <c r="AC13" s="123">
        <f t="shared" ca="1" si="9"/>
        <v>42.884136196763293</v>
      </c>
    </row>
    <row r="14" spans="1:30" x14ac:dyDescent="0.2">
      <c r="A14" s="4" t="s">
        <v>25</v>
      </c>
      <c r="B14" s="4" t="s">
        <v>184</v>
      </c>
      <c r="C14" s="75" t="s">
        <v>195</v>
      </c>
      <c r="D14" s="3" t="s">
        <v>283</v>
      </c>
      <c r="E14" s="4">
        <v>285</v>
      </c>
      <c r="F14" s="4">
        <v>6</v>
      </c>
      <c r="G14" s="4" t="s">
        <v>14</v>
      </c>
      <c r="H14" s="15">
        <f t="shared" si="3"/>
        <v>38.779338297671785</v>
      </c>
      <c r="I14" s="15">
        <f t="shared" si="0"/>
        <v>39.942718446601937</v>
      </c>
      <c r="J14" s="15">
        <f t="shared" si="0"/>
        <v>41.140999999999998</v>
      </c>
      <c r="K14" s="15">
        <f t="shared" si="0"/>
        <v>42.375230000000002</v>
      </c>
      <c r="L14" s="93"/>
      <c r="M14" s="93"/>
      <c r="N14" s="146" t="s">
        <v>377</v>
      </c>
      <c r="O14" s="146" t="str">
        <f t="shared" si="4"/>
        <v>08569C</v>
      </c>
      <c r="P14" s="166" t="str">
        <f t="shared" si="5"/>
        <v>Public Works Service Worker 2 (PWSW2)</v>
      </c>
      <c r="Q14" s="171">
        <f>R14/103%</f>
        <v>38.779338297671785</v>
      </c>
      <c r="R14" s="171">
        <f>S14/103%</f>
        <v>39.942718446601937</v>
      </c>
      <c r="S14" s="171">
        <f>T14/103%</f>
        <v>41.140999999999998</v>
      </c>
      <c r="T14" s="171">
        <f>41.141*103%</f>
        <v>42.375230000000002</v>
      </c>
      <c r="W14" s="116" t="str">
        <f t="shared" si="1"/>
        <v>08569C</v>
      </c>
      <c r="X14" s="117" t="str">
        <f t="shared" si="2"/>
        <v>20</v>
      </c>
      <c r="Y14" s="116" t="str">
        <f t="shared" si="2"/>
        <v>Public Works Service Worker 2 (PWSW2)</v>
      </c>
      <c r="Z14" s="123">
        <f t="shared" si="6"/>
        <v>38.779338297671785</v>
      </c>
      <c r="AA14" s="123">
        <f t="shared" si="7"/>
        <v>39.942718446601937</v>
      </c>
      <c r="AB14" s="123">
        <f t="shared" si="8"/>
        <v>41.140999999999998</v>
      </c>
      <c r="AC14" s="123"/>
    </row>
    <row r="15" spans="1:30" s="5" customFormat="1" x14ac:dyDescent="0.2">
      <c r="A15" s="29"/>
      <c r="B15" s="29"/>
      <c r="C15" s="4"/>
      <c r="D15" s="28" t="s">
        <v>39</v>
      </c>
      <c r="E15" s="24"/>
      <c r="F15" s="24"/>
      <c r="G15" s="25"/>
      <c r="H15" s="4">
        <f t="shared" si="3"/>
        <v>0</v>
      </c>
      <c r="I15" s="15"/>
      <c r="J15" s="4"/>
      <c r="K15" s="26"/>
      <c r="L15" s="26"/>
      <c r="M15" s="108"/>
      <c r="N15" s="148"/>
      <c r="O15" s="146"/>
      <c r="P15" s="139"/>
      <c r="Q15" s="253"/>
      <c r="R15" s="253"/>
      <c r="S15" s="253"/>
      <c r="T15" s="253"/>
      <c r="U15" s="140"/>
      <c r="V15" s="2"/>
      <c r="W15" s="116"/>
      <c r="X15" s="117"/>
      <c r="Y15" s="116"/>
      <c r="Z15" s="117">
        <f t="shared" si="6"/>
        <v>0</v>
      </c>
      <c r="AA15" s="117"/>
      <c r="AB15" s="116"/>
      <c r="AC15" s="136"/>
      <c r="AD15" s="136"/>
    </row>
    <row r="16" spans="1:30" x14ac:dyDescent="0.2">
      <c r="A16" s="4"/>
      <c r="B16" s="4"/>
      <c r="C16" s="75"/>
      <c r="D16" s="3"/>
      <c r="E16" s="4"/>
      <c r="F16" s="4"/>
      <c r="G16" s="4"/>
      <c r="H16" s="4"/>
      <c r="I16" s="15"/>
      <c r="J16" s="4"/>
      <c r="K16" s="16"/>
      <c r="L16" s="93"/>
      <c r="M16" s="93"/>
      <c r="N16" s="146"/>
      <c r="O16" s="146"/>
      <c r="Q16" s="147"/>
      <c r="R16" s="147"/>
      <c r="S16" s="147"/>
      <c r="T16" s="147"/>
    </row>
    <row r="17" spans="1:30"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30" s="5" customFormat="1" ht="25.5" x14ac:dyDescent="0.2">
      <c r="A18" s="106" t="s">
        <v>280</v>
      </c>
      <c r="B18" s="106" t="s">
        <v>279</v>
      </c>
      <c r="C18" s="106" t="s">
        <v>281</v>
      </c>
      <c r="D18" s="103" t="s">
        <v>5</v>
      </c>
      <c r="E18" s="103" t="s">
        <v>6</v>
      </c>
      <c r="F18" s="106" t="s">
        <v>277</v>
      </c>
      <c r="G18" s="106" t="s">
        <v>278</v>
      </c>
      <c r="H18" s="107" t="s">
        <v>449</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37.644000000000005</v>
      </c>
      <c r="I19" s="15">
        <f>R19</f>
        <v>37.927750000000003</v>
      </c>
      <c r="J19" s="15">
        <f>S19</f>
        <v>38.211500000000001</v>
      </c>
      <c r="K19" s="15">
        <f>T19</f>
        <v>38.495249999999999</v>
      </c>
      <c r="L19" s="15">
        <f>U19</f>
        <v>38.779000000000003</v>
      </c>
      <c r="M19" s="2"/>
      <c r="N19" s="140" t="s">
        <v>377</v>
      </c>
      <c r="O19" s="146" t="str">
        <f>A19</f>
        <v>02624C</v>
      </c>
      <c r="P19" s="166" t="str">
        <f>D19</f>
        <v>PWSW2 Apprentice Program for  PWSW1's</v>
      </c>
      <c r="Q19" s="171">
        <v>37.644000000000005</v>
      </c>
      <c r="R19" s="171">
        <v>37.927750000000003</v>
      </c>
      <c r="S19" s="171">
        <v>38.211500000000001</v>
      </c>
      <c r="T19" s="171">
        <v>38.495249999999999</v>
      </c>
      <c r="U19" s="171">
        <v>38.779000000000003</v>
      </c>
      <c r="V19" s="2"/>
      <c r="W19" s="116" t="str">
        <f>O19</f>
        <v>02624C</v>
      </c>
      <c r="X19" s="117">
        <f>C19</f>
        <v>36</v>
      </c>
      <c r="Y19" s="116" t="str">
        <f>D19</f>
        <v>PWSW2 Apprentice Program for  PWSW1's</v>
      </c>
      <c r="Z19" s="123">
        <f>ROUND(Q19,3)</f>
        <v>37.643999999999998</v>
      </c>
      <c r="AA19" s="123">
        <f>ROUND(R19,3)</f>
        <v>37.927999999999997</v>
      </c>
      <c r="AB19" s="123">
        <f>ROUND(S19,3)</f>
        <v>38.212000000000003</v>
      </c>
      <c r="AC19" s="123">
        <f>ROUND(T19,3)</f>
        <v>38.494999999999997</v>
      </c>
      <c r="AD19" s="123">
        <f>ROUND(U19,3)</f>
        <v>38.779000000000003</v>
      </c>
    </row>
    <row r="20" spans="1:30" s="5" customFormat="1" x14ac:dyDescent="0.2">
      <c r="A20" s="4"/>
      <c r="B20" s="4"/>
      <c r="C20" s="4"/>
      <c r="D20" s="3"/>
      <c r="E20" s="4"/>
      <c r="F20" s="4"/>
      <c r="G20" s="20"/>
      <c r="H20" s="15"/>
      <c r="I20" s="15"/>
      <c r="J20" s="15"/>
      <c r="K20" s="15"/>
      <c r="L20" s="15"/>
      <c r="M20" s="2"/>
      <c r="N20" s="140"/>
      <c r="O20" s="255"/>
      <c r="P20" s="256">
        <v>45474</v>
      </c>
      <c r="Q20" s="255">
        <f>'7-1-2024'!Q19</f>
        <v>35.725999999999999</v>
      </c>
      <c r="R20" s="255">
        <f>'7-1-2024'!R19</f>
        <v>36.01729764296114</v>
      </c>
      <c r="S20" s="255">
        <f>'7-1-2024'!S19</f>
        <v>36.30859528592228</v>
      </c>
      <c r="T20" s="255">
        <f>'7-1-2024'!T19</f>
        <v>36.59989292888342</v>
      </c>
      <c r="U20" s="255">
        <f>'7-1-2024'!U19</f>
        <v>36.891190571844568</v>
      </c>
      <c r="V20" s="2"/>
      <c r="W20" s="116"/>
      <c r="X20" s="117"/>
      <c r="Y20" s="116"/>
      <c r="Z20" s="117"/>
      <c r="AA20" s="117"/>
      <c r="AB20" s="116"/>
      <c r="AC20" s="136"/>
      <c r="AD20" s="136"/>
    </row>
    <row r="21" spans="1:30" s="5" customFormat="1" x14ac:dyDescent="0.2">
      <c r="A21" s="29"/>
      <c r="B21" s="29"/>
      <c r="C21" s="4"/>
      <c r="D21" s="23"/>
      <c r="E21" s="24"/>
      <c r="F21" s="24"/>
      <c r="G21" s="25"/>
      <c r="H21" s="4" t="s">
        <v>30</v>
      </c>
      <c r="I21" s="15"/>
      <c r="J21" s="4" t="s">
        <v>30</v>
      </c>
      <c r="K21" s="26"/>
      <c r="L21" s="26"/>
      <c r="M21" s="108"/>
      <c r="N21" s="148"/>
      <c r="O21" s="148"/>
      <c r="P21" s="254" t="s">
        <v>468</v>
      </c>
      <c r="Q21" s="253">
        <f>Q19/Q20</f>
        <v>1.0536863908637968</v>
      </c>
      <c r="R21" s="253">
        <f t="shared" ref="R21:U21" si="10">R19/R20</f>
        <v>1.0530426345690103</v>
      </c>
      <c r="S21" s="253">
        <f t="shared" si="10"/>
        <v>1.0524092077672726</v>
      </c>
      <c r="T21" s="253">
        <f t="shared" si="10"/>
        <v>1.0517858638220448</v>
      </c>
      <c r="U21" s="253">
        <f t="shared" si="10"/>
        <v>1.0511723638866839</v>
      </c>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201" t="s">
        <v>443</v>
      </c>
      <c r="I22" s="201" t="s">
        <v>444</v>
      </c>
      <c r="J22" s="201" t="s">
        <v>445</v>
      </c>
      <c r="K22" s="107"/>
      <c r="L22" s="107"/>
      <c r="M22" s="2"/>
      <c r="N22" s="140"/>
      <c r="O22" s="142" t="s">
        <v>280</v>
      </c>
      <c r="P22" s="143" t="s">
        <v>284</v>
      </c>
      <c r="Q22" s="143" t="s">
        <v>10</v>
      </c>
      <c r="R22" s="143" t="s">
        <v>186</v>
      </c>
      <c r="S22" s="143" t="s">
        <v>187</v>
      </c>
      <c r="T22" s="143" t="s">
        <v>188</v>
      </c>
      <c r="U22" s="143" t="s">
        <v>189</v>
      </c>
      <c r="V22" s="15"/>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388</v>
      </c>
      <c r="B23" s="29" t="s">
        <v>184</v>
      </c>
      <c r="C23" s="4">
        <v>38</v>
      </c>
      <c r="D23" s="132" t="s">
        <v>389</v>
      </c>
      <c r="E23" s="24">
        <v>263</v>
      </c>
      <c r="F23" s="25">
        <v>5</v>
      </c>
      <c r="G23" s="25" t="s">
        <v>14</v>
      </c>
      <c r="H23" s="15">
        <f ca="1">Q23</f>
        <v>24.033275597780257</v>
      </c>
      <c r="I23" s="15">
        <f ca="1">R23</f>
        <v>28.112348911876055</v>
      </c>
      <c r="J23" s="15">
        <f ca="1">S23</f>
        <v>36.29750927062458</v>
      </c>
      <c r="K23" s="26"/>
      <c r="L23" s="26"/>
      <c r="M23" s="108"/>
      <c r="N23" s="148" t="s">
        <v>377</v>
      </c>
      <c r="O23" s="146" t="str">
        <f>A23</f>
        <v>52919C</v>
      </c>
      <c r="P23" s="166" t="str">
        <f>D23</f>
        <v>Auto Mechanic Trainee</v>
      </c>
      <c r="Q23" s="171" cm="1">
        <f t="array" aca="1" ref="Q23" ca="1">IF($N23="Y",((VLOOKUP($O23,INDIRECT($N$3),Q$6,0)))*INDIRECT($N$2),(VLOOKUP($O23,INDIRECT($N$3),Q$6,0)))</f>
        <v>24.033275597780257</v>
      </c>
      <c r="R23" s="171" cm="1">
        <f t="array" aca="1" ref="R23" ca="1">IF($N23="Y",((VLOOKUP($O23,INDIRECT($N$3),R$6,0)))*INDIRECT($N$2),(VLOOKUP($O23,INDIRECT($N$3),R$6,0)))</f>
        <v>28.112348911876055</v>
      </c>
      <c r="S23" s="171" cm="1">
        <f t="array" aca="1" ref="S23" ca="1">IF($N23="Y",((VLOOKUP($O23,INDIRECT($N$3),S$6,0)))*INDIRECT($N$2),(VLOOKUP($O23,INDIRECT($N$3),S$6,0)))</f>
        <v>36.29750927062458</v>
      </c>
      <c r="T23" s="147"/>
      <c r="U23" s="147"/>
      <c r="V23" s="2"/>
      <c r="W23" s="116" t="str">
        <f>O23</f>
        <v>52919C</v>
      </c>
      <c r="X23" s="117">
        <f>C23</f>
        <v>38</v>
      </c>
      <c r="Y23" s="116" t="str">
        <f>D23</f>
        <v>Auto Mechanic Trainee</v>
      </c>
      <c r="Z23" s="123">
        <f ca="1">ROUND(Q23,3)</f>
        <v>24.033000000000001</v>
      </c>
      <c r="AA23" s="123">
        <f ca="1">ROUND(R23,3)</f>
        <v>28.111999999999998</v>
      </c>
      <c r="AB23" s="123">
        <f ca="1">ROUND(S23,3)</f>
        <v>36.298000000000002</v>
      </c>
      <c r="AC23" s="123"/>
      <c r="AD23" s="123"/>
    </row>
    <row r="24" spans="1:30" s="5" customFormat="1" x14ac:dyDescent="0.2">
      <c r="A24" s="29"/>
      <c r="B24" s="29"/>
      <c r="C24" s="4"/>
      <c r="D24" s="23"/>
      <c r="E24" s="24"/>
      <c r="F24" s="24"/>
      <c r="G24" s="25"/>
      <c r="H24" s="135"/>
      <c r="I24" s="15"/>
      <c r="J24" s="135"/>
      <c r="K24" s="96"/>
      <c r="L24" s="26"/>
      <c r="M24" s="108"/>
      <c r="N24" s="148"/>
      <c r="O24" s="148"/>
      <c r="P24" s="139"/>
      <c r="Q24" s="140"/>
      <c r="R24" s="140"/>
      <c r="S24" s="140"/>
      <c r="T24" s="140"/>
      <c r="U24" s="140"/>
      <c r="V24" s="2"/>
      <c r="W24" s="116"/>
      <c r="X24" s="117"/>
      <c r="Y24" s="116"/>
      <c r="Z24" s="117"/>
      <c r="AA24" s="117"/>
      <c r="AB24" s="116"/>
      <c r="AC24" s="136"/>
      <c r="AD24" s="136"/>
    </row>
    <row r="25" spans="1:30" s="5" customFormat="1" x14ac:dyDescent="0.2">
      <c r="A25" s="29"/>
      <c r="B25" s="31"/>
      <c r="C25" s="31"/>
      <c r="D25" s="31"/>
      <c r="E25" s="82"/>
      <c r="F25" s="31"/>
      <c r="G25" s="31"/>
      <c r="H25" s="31"/>
      <c r="I25" s="31"/>
      <c r="J25" s="31"/>
      <c r="M25" s="2"/>
      <c r="N25" s="140"/>
      <c r="O25" s="139"/>
      <c r="P25" s="139"/>
      <c r="Q25" s="140"/>
      <c r="R25" s="140"/>
      <c r="S25" s="140"/>
      <c r="T25" s="140"/>
      <c r="U25" s="140"/>
      <c r="V25" s="2"/>
      <c r="W25" s="116"/>
      <c r="X25" s="117"/>
      <c r="Y25" s="116"/>
      <c r="Z25" s="117"/>
      <c r="AA25" s="117"/>
      <c r="AB25" s="116"/>
      <c r="AC25" s="136"/>
      <c r="AD25" s="136"/>
    </row>
    <row r="26" spans="1:30" x14ac:dyDescent="0.2">
      <c r="A26" s="2" t="str">
        <f>"A Supplemental Pension contribution of "&amp;TEXT(Q26,"$0.000")&amp;" per hour for all hours paid will be made to the Central Pension Fund."</f>
        <v>A Supplemental Pension contribution of $2.250 per hour for all hours paid will be made to the Central Pension Fund.</v>
      </c>
      <c r="B26" s="31"/>
      <c r="C26" s="31"/>
      <c r="D26" s="31"/>
      <c r="E26" s="82"/>
      <c r="F26" s="31"/>
      <c r="G26" s="31"/>
      <c r="H26" s="31"/>
      <c r="I26" s="31"/>
      <c r="J26" s="31"/>
      <c r="K26" s="2"/>
      <c r="L26" s="2"/>
      <c r="O26" s="139" t="s">
        <v>381</v>
      </c>
      <c r="P26" s="139" t="s">
        <v>375</v>
      </c>
      <c r="Q26" s="172">
        <v>2.25</v>
      </c>
      <c r="R26" s="152"/>
      <c r="W26" s="116" t="str">
        <f>O26</f>
        <v>Pension</v>
      </c>
      <c r="Y26" s="116" t="str">
        <f>P26</f>
        <v>Pension fund contribution</v>
      </c>
      <c r="Z26" s="123">
        <f>Q26</f>
        <v>2.25</v>
      </c>
    </row>
    <row r="27" spans="1:30" s="33" customFormat="1" x14ac:dyDescent="0.2">
      <c r="A27" s="1"/>
      <c r="E27" s="83"/>
      <c r="N27" s="140"/>
      <c r="O27" s="151"/>
      <c r="P27" s="151"/>
      <c r="Q27" s="140"/>
      <c r="R27" s="140"/>
      <c r="S27" s="140"/>
      <c r="T27" s="140"/>
      <c r="U27" s="140"/>
      <c r="W27" s="125"/>
      <c r="X27" s="117"/>
      <c r="Y27" s="125"/>
      <c r="Z27" s="117"/>
      <c r="AA27" s="117"/>
      <c r="AB27" s="125"/>
      <c r="AC27" s="125"/>
      <c r="AD27" s="125"/>
    </row>
    <row r="28" spans="1:30" s="33" customFormat="1" x14ac:dyDescent="0.2">
      <c r="A28" s="1"/>
      <c r="E28" s="83"/>
      <c r="K28" s="34"/>
      <c r="L28" s="34"/>
      <c r="N28" s="140"/>
      <c r="O28" s="151"/>
      <c r="P28" s="151"/>
      <c r="Q28" s="140"/>
      <c r="R28" s="140"/>
      <c r="S28" s="140"/>
      <c r="T28" s="140"/>
      <c r="U28" s="140"/>
      <c r="W28" s="125"/>
      <c r="X28" s="117"/>
      <c r="Y28" s="125"/>
      <c r="Z28" s="117"/>
      <c r="AA28" s="117"/>
      <c r="AB28" s="125"/>
      <c r="AC28" s="125"/>
      <c r="AD28" s="125"/>
    </row>
    <row r="29" spans="1:30" s="33" customFormat="1" x14ac:dyDescent="0.2">
      <c r="A29" s="36" t="s">
        <v>416</v>
      </c>
      <c r="E29" s="83"/>
      <c r="K29" s="34"/>
      <c r="L29" s="34"/>
      <c r="N29" s="140"/>
      <c r="O29" s="151"/>
      <c r="P29" s="151"/>
      <c r="Q29" s="140"/>
      <c r="R29" s="140"/>
      <c r="S29" s="140"/>
      <c r="T29" s="140"/>
      <c r="U29" s="140"/>
      <c r="W29" s="125"/>
      <c r="X29" s="117"/>
      <c r="Y29" s="125"/>
      <c r="Z29" s="117"/>
      <c r="AA29" s="117"/>
      <c r="AB29" s="125"/>
      <c r="AC29" s="125"/>
      <c r="AD29" s="125"/>
    </row>
    <row r="30" spans="1:30" x14ac:dyDescent="0.2">
      <c r="A30" s="36" t="s">
        <v>46</v>
      </c>
      <c r="F30" s="4"/>
      <c r="G30" s="35"/>
      <c r="H30" s="35"/>
      <c r="I30" s="35"/>
      <c r="J30" s="4"/>
    </row>
    <row r="31" spans="1:30" s="33" customFormat="1" x14ac:dyDescent="0.2">
      <c r="A31" s="18"/>
      <c r="B31" s="19"/>
      <c r="C31" s="19"/>
      <c r="D31" s="19"/>
      <c r="E31" s="84"/>
      <c r="F31" s="37"/>
      <c r="G31" s="38"/>
      <c r="H31" s="37"/>
      <c r="I31" s="37"/>
      <c r="J31" s="37"/>
      <c r="K31" s="2"/>
      <c r="L31" s="34"/>
      <c r="N31" s="140"/>
      <c r="O31" s="151"/>
      <c r="P31" s="151"/>
      <c r="Q31" s="140"/>
      <c r="R31" s="140"/>
      <c r="S31" s="140"/>
      <c r="T31" s="140"/>
      <c r="U31" s="140"/>
      <c r="W31" s="125"/>
      <c r="X31" s="117"/>
      <c r="Y31" s="125"/>
      <c r="Z31" s="117"/>
      <c r="AA31" s="117"/>
      <c r="AB31" s="125"/>
      <c r="AC31" s="125"/>
      <c r="AD31" s="125"/>
    </row>
    <row r="32" spans="1:30" s="33" customFormat="1" x14ac:dyDescent="0.2">
      <c r="A32" s="39" t="s">
        <v>229</v>
      </c>
      <c r="E32" s="83"/>
      <c r="L32" s="34"/>
      <c r="M32" s="2"/>
      <c r="N32" s="140"/>
      <c r="O32" s="151"/>
      <c r="P32" s="151"/>
      <c r="Q32" s="140"/>
      <c r="R32" s="140"/>
      <c r="S32" s="140"/>
      <c r="T32" s="140"/>
      <c r="U32" s="140"/>
      <c r="W32" s="155" t="s">
        <v>398</v>
      </c>
      <c r="X32" s="157"/>
      <c r="Y32" s="155"/>
      <c r="Z32" s="157" t="s">
        <v>399</v>
      </c>
      <c r="AA32" s="117"/>
      <c r="AB32" s="125"/>
      <c r="AC32" s="125"/>
      <c r="AD32" s="125"/>
    </row>
    <row r="33" spans="1:30" x14ac:dyDescent="0.2">
      <c r="A33" s="39" t="str">
        <f ca="1">"Paver (Blaw Knox &amp; Gilcrest), Brokk, or Curb Machine, they shall be paid a premium of "&amp;TEXT(Q33,"$0.000")&amp;" per hour for all hours on the equipment."</f>
        <v>Paver (Blaw Knox &amp; Gilcrest), Brokk, or Curb Machine, they shall be paid a premium of $1.382 per hour for all hours on the equipment.</v>
      </c>
      <c r="B33" s="33"/>
      <c r="C33" s="33"/>
      <c r="D33" s="33"/>
      <c r="G33"/>
      <c r="H33"/>
      <c r="I33" s="33"/>
      <c r="J33" s="33"/>
      <c r="K33" s="33"/>
      <c r="M33" s="33"/>
      <c r="N33" s="140" t="s">
        <v>377</v>
      </c>
      <c r="O33" s="139" t="s">
        <v>351</v>
      </c>
      <c r="P33" s="139" t="s">
        <v>352</v>
      </c>
      <c r="Q33" s="147" cm="1">
        <f t="array" aca="1" ref="Q33" ca="1">IF($N33="Y",((VLOOKUP($O33,INDIRECT($N$3),Q$6,0)))*INDIRECT($N$2),(VLOOKUP($O33,INDIRECT($N$3),Q$6,0)))</f>
        <v>1.382099466042968</v>
      </c>
      <c r="W33" s="116" t="str">
        <f>O33</f>
        <v>CEQEQB</v>
      </c>
      <c r="Y33" s="116" t="str">
        <f>P33</f>
        <v>TL-Equipment B-CEQ</v>
      </c>
      <c r="Z33" s="123">
        <f ca="1">Q33</f>
        <v>1.382099466042968</v>
      </c>
    </row>
    <row r="34" spans="1:30" s="33" customFormat="1" x14ac:dyDescent="0.2">
      <c r="A34" s="20"/>
      <c r="B34" s="19"/>
      <c r="C34" s="19"/>
      <c r="D34" s="19"/>
      <c r="E34" s="80"/>
      <c r="F34" s="19"/>
      <c r="G34" s="20"/>
      <c r="H34" s="37"/>
      <c r="I34" s="37"/>
      <c r="J34" s="37"/>
      <c r="K34" s="2"/>
      <c r="L34" s="34"/>
      <c r="N34" s="140"/>
      <c r="O34" s="151"/>
      <c r="P34" s="151"/>
      <c r="Q34" s="140"/>
      <c r="R34" s="140"/>
      <c r="S34" s="140"/>
      <c r="T34" s="140"/>
      <c r="U34" s="140"/>
      <c r="W34" s="125"/>
      <c r="X34" s="117"/>
      <c r="Y34" s="125"/>
      <c r="Z34" s="117"/>
      <c r="AA34" s="117"/>
      <c r="AB34" s="125"/>
      <c r="AC34" s="125"/>
      <c r="AD34" s="125"/>
    </row>
    <row r="35" spans="1:30" s="33" customFormat="1" x14ac:dyDescent="0.2">
      <c r="A35" s="39" t="s">
        <v>230</v>
      </c>
      <c r="E35" s="83"/>
      <c r="G35" s="4"/>
      <c r="L35" s="34"/>
      <c r="N35" s="140"/>
      <c r="O35" s="151"/>
      <c r="P35" s="151"/>
      <c r="Q35" s="140"/>
      <c r="R35" s="140"/>
      <c r="S35" s="140"/>
      <c r="T35" s="140"/>
      <c r="U35" s="140"/>
      <c r="W35" s="125"/>
      <c r="X35" s="117"/>
      <c r="Y35" s="125"/>
      <c r="Z35" s="117"/>
      <c r="AA35" s="117"/>
      <c r="AB35" s="125"/>
      <c r="AC35" s="125"/>
      <c r="AD35" s="125"/>
    </row>
    <row r="36" spans="1:30" x14ac:dyDescent="0.2">
      <c r="A36" s="39" t="str">
        <f ca="1">"Hydraulic Boom Crane (Carry Deck), or Boring Machine, they shall be paid a premium of "&amp;TEXT(Q36,"$0.000")&amp;" per  hour for all hours on the equipment."</f>
        <v>Hydraulic Boom Crane (Carry Deck), or Boring Machine, they shall be paid a premium of $2.262 per  hour for all hours on the equipment.</v>
      </c>
      <c r="B36" s="33"/>
      <c r="C36" s="33"/>
      <c r="D36" s="33"/>
      <c r="G36"/>
      <c r="H36"/>
      <c r="I36" s="33"/>
      <c r="J36" s="33"/>
      <c r="K36" s="33"/>
      <c r="N36" s="140" t="s">
        <v>377</v>
      </c>
      <c r="O36" s="139" t="s">
        <v>350</v>
      </c>
      <c r="P36" s="139" t="s">
        <v>349</v>
      </c>
      <c r="Q36" s="147" cm="1">
        <f t="array" aca="1" ref="Q36" ca="1">IF($N36="Y",((VLOOKUP($O36,INDIRECT($N$3),Q$6,0)))*INDIRECT($N$2),(VLOOKUP($O36,INDIRECT($N$3),Q$6,0)))</f>
        <v>2.2616173080703117</v>
      </c>
      <c r="W36" s="116" t="str">
        <f>O36</f>
        <v>CEQEQC</v>
      </c>
      <c r="Y36" s="116" t="str">
        <f>P36</f>
        <v>TL-Equipment C-CEQ</v>
      </c>
      <c r="Z36" s="123">
        <f ca="1">Q36</f>
        <v>2.2616173080703117</v>
      </c>
    </row>
    <row r="37" spans="1:30" s="33" customFormat="1" x14ac:dyDescent="0.2">
      <c r="A37" s="20"/>
      <c r="E37" s="83"/>
      <c r="G37" s="4"/>
      <c r="K37" s="34"/>
      <c r="L37" s="34"/>
      <c r="N37" s="140"/>
      <c r="O37" s="151"/>
      <c r="P37" s="151"/>
      <c r="Q37" s="140"/>
      <c r="R37" s="140"/>
      <c r="S37" s="140"/>
      <c r="T37" s="140"/>
      <c r="U37" s="140"/>
      <c r="W37" s="125"/>
      <c r="X37" s="117"/>
      <c r="Y37" s="125"/>
      <c r="Z37" s="117"/>
      <c r="AA37" s="117"/>
      <c r="AB37" s="125"/>
      <c r="AC37" s="125"/>
      <c r="AD37" s="125"/>
    </row>
    <row r="38" spans="1:30" s="33" customFormat="1" x14ac:dyDescent="0.2">
      <c r="A38" s="20"/>
      <c r="E38" s="83"/>
      <c r="G38" s="4"/>
      <c r="K38" s="34"/>
      <c r="L38" s="34"/>
      <c r="N38" s="140"/>
      <c r="O38" s="151"/>
      <c r="P38" s="151"/>
      <c r="Q38" s="140"/>
      <c r="R38" s="140"/>
      <c r="S38" s="140"/>
      <c r="T38" s="140"/>
      <c r="U38" s="140"/>
      <c r="W38" s="125"/>
      <c r="X38" s="117"/>
      <c r="Y38" s="125"/>
      <c r="Z38" s="117"/>
      <c r="AA38" s="117"/>
      <c r="AB38" s="125"/>
      <c r="AC38" s="125"/>
      <c r="AD38" s="125"/>
    </row>
    <row r="39" spans="1:30" x14ac:dyDescent="0.2">
      <c r="A39" s="91" t="s">
        <v>415</v>
      </c>
      <c r="C39" s="41"/>
      <c r="D39" s="19"/>
      <c r="E39" s="80"/>
      <c r="F39" s="19"/>
      <c r="G39"/>
      <c r="H39"/>
      <c r="I39" s="37"/>
      <c r="J39" s="37"/>
      <c r="Q39" s="147"/>
    </row>
    <row r="40" spans="1:30" x14ac:dyDescent="0.2">
      <c r="A40" s="19" t="str">
        <f ca="1">TEXT(Q40,"$0.000")&amp;" per hour shall be paid to all employees while operating a Class 'A' - combination vehicle as defined by Federal DOT regulations. "</f>
        <v xml:space="preserve">$2.072 per hour shall be paid to all employees while operating a Class 'A' - combination vehicle as defined by Federal DOT regulations. </v>
      </c>
      <c r="C40" s="41"/>
      <c r="D40" s="19"/>
      <c r="E40" s="80"/>
      <c r="F40" s="19"/>
      <c r="G40" s="19"/>
      <c r="H40" s="37"/>
      <c r="I40" s="37"/>
      <c r="J40" s="37"/>
      <c r="N40" s="140" t="s">
        <v>377</v>
      </c>
      <c r="O40" s="139" t="s">
        <v>348</v>
      </c>
      <c r="P40" s="139" t="s">
        <v>347</v>
      </c>
      <c r="Q40" s="147" cm="1">
        <f t="array" aca="1" ref="Q40" ca="1">IF($N40="Y",((VLOOKUP($O40,INDIRECT($N$3),Q$6,0)))*INDIRECT($N$2),(VLOOKUP($O40,INDIRECT($N$3),Q$6,0)))</f>
        <v>2.0720069681007804</v>
      </c>
      <c r="W40" s="116" t="str">
        <f>O40</f>
        <v>CEQSPE</v>
      </c>
      <c r="Y40" s="116" t="str">
        <f>P40</f>
        <v>TL-Special Endorsement-CEQ</v>
      </c>
      <c r="Z40" s="123">
        <f ca="1">Q40</f>
        <v>2.0720069681007804</v>
      </c>
    </row>
    <row r="41" spans="1:30" x14ac:dyDescent="0.2">
      <c r="A41" s="2" t="s">
        <v>215</v>
      </c>
      <c r="C41" s="41"/>
      <c r="D41" s="19"/>
      <c r="E41" s="80"/>
      <c r="F41" s="19"/>
      <c r="G41" s="19"/>
      <c r="H41" s="37"/>
      <c r="I41" s="37"/>
      <c r="J41" s="37"/>
    </row>
    <row r="42" spans="1:30" s="33" customFormat="1" x14ac:dyDescent="0.2">
      <c r="A42" s="20"/>
      <c r="E42" s="83"/>
      <c r="K42" s="34"/>
      <c r="L42" s="34"/>
      <c r="N42" s="140"/>
      <c r="O42" s="151"/>
      <c r="P42" s="151"/>
      <c r="Q42" s="140"/>
      <c r="R42" s="140"/>
      <c r="S42" s="140"/>
      <c r="T42" s="140"/>
      <c r="U42" s="140"/>
      <c r="W42" s="125"/>
      <c r="X42" s="117"/>
      <c r="Y42" s="125"/>
      <c r="Z42" s="117"/>
      <c r="AA42" s="117"/>
      <c r="AB42" s="125"/>
      <c r="AC42" s="125"/>
      <c r="AD42" s="125"/>
    </row>
    <row r="43" spans="1:30" s="33" customFormat="1" x14ac:dyDescent="0.2">
      <c r="A43" s="43" t="s">
        <v>414</v>
      </c>
      <c r="B43" s="44"/>
      <c r="E43" s="83"/>
      <c r="K43" s="45"/>
      <c r="L43" s="34"/>
      <c r="N43" s="140"/>
      <c r="O43" s="151"/>
      <c r="P43" s="151"/>
      <c r="Q43" s="140"/>
      <c r="R43" s="140"/>
      <c r="S43" s="140"/>
      <c r="T43" s="140"/>
      <c r="U43" s="140"/>
      <c r="W43" s="125"/>
      <c r="X43" s="117"/>
      <c r="Y43" s="125"/>
      <c r="Z43" s="117"/>
      <c r="AA43" s="117"/>
      <c r="AB43" s="125"/>
      <c r="AC43" s="125"/>
      <c r="AD43" s="125"/>
    </row>
    <row r="44" spans="1:30" s="33" customFormat="1" x14ac:dyDescent="0.2">
      <c r="A44" s="39" t="s">
        <v>227</v>
      </c>
      <c r="E44" s="83"/>
      <c r="L44" s="34"/>
      <c r="N44" s="140"/>
      <c r="O44" s="151"/>
      <c r="P44" s="151"/>
      <c r="Q44" s="140"/>
      <c r="R44" s="140"/>
      <c r="S44" s="140"/>
      <c r="T44" s="140"/>
      <c r="U44" s="140"/>
      <c r="W44" s="125"/>
      <c r="X44" s="117"/>
      <c r="Y44" s="125"/>
      <c r="Z44" s="117"/>
      <c r="AA44" s="117"/>
      <c r="AB44" s="125"/>
      <c r="AC44" s="125"/>
      <c r="AD44" s="125"/>
    </row>
    <row r="45" spans="1:30" s="33" customFormat="1" x14ac:dyDescent="0.2">
      <c r="A45" s="39" t="str">
        <f ca="1">"of Plant Repair Worker, Plant Operator, and Blacksmith to receive an additional "&amp;TEXT(Q45,"$0.000")&amp;" per hour for attaining and"</f>
        <v>of Plant Repair Worker, Plant Operator, and Blacksmith to receive an additional $0.345 per hour for attaining and</v>
      </c>
      <c r="E45" s="83"/>
      <c r="L45" s="34"/>
      <c r="N45" s="140" t="s">
        <v>377</v>
      </c>
      <c r="O45" s="151" t="s">
        <v>342</v>
      </c>
      <c r="P45" s="151" t="s">
        <v>341</v>
      </c>
      <c r="Q45" s="147" cm="1">
        <f t="array" aca="1" ref="Q45" ca="1">IF($N45="Y",((VLOOKUP($O45,INDIRECT($N$3),Q$6,0)))*INDIRECT($N$2),(VLOOKUP($O45,INDIRECT($N$3),Q$6,0)))</f>
        <v>0.34495375102890607</v>
      </c>
      <c r="R45" s="140"/>
      <c r="S45" s="140"/>
      <c r="T45" s="140"/>
      <c r="U45" s="140"/>
      <c r="W45" s="116" t="str">
        <f>O45</f>
        <v>CEQHAZ</v>
      </c>
      <c r="X45" s="117"/>
      <c r="Y45" s="116" t="str">
        <f>P45</f>
        <v>Haz-Mat Certification</v>
      </c>
      <c r="Z45" s="123">
        <f ca="1">Q45</f>
        <v>0.34495375102890607</v>
      </c>
      <c r="AA45" s="117"/>
      <c r="AB45" s="125"/>
      <c r="AC45" s="125"/>
      <c r="AD45" s="125"/>
    </row>
    <row r="46" spans="1:30" s="33" customFormat="1" x14ac:dyDescent="0.2">
      <c r="A46" s="33" t="s">
        <v>318</v>
      </c>
      <c r="E46" s="83"/>
      <c r="L46" s="45">
        <v>0.23699999999999999</v>
      </c>
      <c r="N46" s="140"/>
      <c r="O46" s="151"/>
      <c r="P46" s="151"/>
      <c r="Q46" s="140"/>
      <c r="R46" s="140"/>
      <c r="S46" s="140"/>
      <c r="T46" s="140"/>
      <c r="U46" s="140"/>
      <c r="W46" s="125"/>
      <c r="X46" s="117"/>
      <c r="Y46" s="125"/>
      <c r="Z46" s="117"/>
      <c r="AA46" s="117"/>
      <c r="AB46" s="125"/>
      <c r="AC46" s="125"/>
      <c r="AD46" s="125"/>
    </row>
    <row r="47" spans="1:30" s="33" customFormat="1" x14ac:dyDescent="0.2">
      <c r="A47" s="39" t="s">
        <v>319</v>
      </c>
      <c r="E47" s="83"/>
      <c r="L47" s="34"/>
      <c r="N47" s="140"/>
      <c r="O47" s="151"/>
      <c r="P47" s="151"/>
      <c r="Q47" s="140"/>
      <c r="R47" s="140"/>
      <c r="S47" s="140"/>
      <c r="T47" s="140"/>
      <c r="U47" s="140"/>
      <c r="W47" s="125"/>
      <c r="X47" s="117"/>
      <c r="Y47" s="125"/>
      <c r="Z47" s="117"/>
      <c r="AA47" s="117"/>
      <c r="AB47" s="125"/>
      <c r="AC47" s="125"/>
      <c r="AD47" s="125"/>
    </row>
    <row r="48" spans="1:30" s="33" customFormat="1" x14ac:dyDescent="0.2">
      <c r="A48" s="39" t="s">
        <v>320</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
        <v>321</v>
      </c>
      <c r="E49" s="83"/>
      <c r="L49" s="34"/>
      <c r="N49" s="140"/>
      <c r="O49" s="151"/>
      <c r="P49" s="151"/>
      <c r="Q49" s="140"/>
      <c r="R49" s="140"/>
      <c r="S49" s="140"/>
      <c r="T49" s="140"/>
      <c r="U49" s="140"/>
      <c r="W49" s="125"/>
      <c r="X49" s="117"/>
      <c r="Y49" s="125"/>
      <c r="Z49" s="117"/>
      <c r="AA49" s="117"/>
      <c r="AB49" s="125"/>
      <c r="AC49" s="125"/>
      <c r="AD49" s="125"/>
    </row>
    <row r="50" spans="1:30" s="33" customFormat="1" x14ac:dyDescent="0.2">
      <c r="A50" s="39" t="s">
        <v>322</v>
      </c>
      <c r="E50" s="83"/>
      <c r="L50" s="34"/>
      <c r="N50" s="140"/>
      <c r="O50" s="151"/>
      <c r="P50" s="151"/>
      <c r="Q50" s="140"/>
      <c r="R50" s="140"/>
      <c r="S50" s="140"/>
      <c r="T50" s="140"/>
      <c r="U50" s="140"/>
      <c r="W50" s="125"/>
      <c r="X50" s="117"/>
      <c r="Y50" s="125"/>
      <c r="Z50" s="117"/>
      <c r="AA50" s="117"/>
      <c r="AB50" s="125"/>
      <c r="AC50" s="125"/>
      <c r="AD50" s="125"/>
    </row>
    <row r="51" spans="1:30" s="33" customFormat="1" x14ac:dyDescent="0.2">
      <c r="A51" s="39"/>
      <c r="E51" s="83"/>
      <c r="K51" s="34"/>
      <c r="L51" s="34"/>
      <c r="N51" s="140"/>
      <c r="O51" s="151"/>
      <c r="P51" s="151"/>
      <c r="Q51" s="140"/>
      <c r="R51" s="140"/>
      <c r="S51" s="140"/>
      <c r="T51" s="140"/>
      <c r="U51" s="140"/>
      <c r="W51" s="125"/>
      <c r="X51" s="117"/>
      <c r="Y51" s="125"/>
      <c r="Z51" s="117"/>
      <c r="AA51" s="117"/>
      <c r="AB51" s="125"/>
      <c r="AC51" s="125"/>
      <c r="AD51" s="125"/>
    </row>
    <row r="52" spans="1:30" s="33" customFormat="1" x14ac:dyDescent="0.2">
      <c r="A52" s="39" t="s">
        <v>64</v>
      </c>
      <c r="E52" s="83"/>
      <c r="K52" s="34"/>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323</v>
      </c>
      <c r="E53" s="83"/>
      <c r="K53" s="34"/>
      <c r="L53" s="34"/>
      <c r="N53" s="140"/>
      <c r="O53" s="151"/>
      <c r="P53" s="151"/>
      <c r="Q53" s="140"/>
      <c r="R53" s="140"/>
      <c r="S53" s="140"/>
      <c r="T53" s="140"/>
      <c r="U53" s="140"/>
      <c r="W53" s="125"/>
      <c r="X53" s="117"/>
      <c r="Y53" s="125"/>
      <c r="Z53" s="117"/>
      <c r="AA53" s="117"/>
      <c r="AB53" s="125"/>
      <c r="AC53" s="125"/>
      <c r="AD53" s="125"/>
    </row>
    <row r="54" spans="1:30" s="33" customFormat="1" x14ac:dyDescent="0.2">
      <c r="A54" s="47" t="str">
        <f ca="1">"Level A (as defined by OSHA) - "&amp;TEXT(Q54,"$0.000")&amp;" per hour"</f>
        <v>Level A (as defined by OSHA) - $2.159 per hour</v>
      </c>
      <c r="E54" s="83"/>
      <c r="F54"/>
      <c r="G54"/>
      <c r="K54" s="34"/>
      <c r="L54" s="34"/>
      <c r="N54" s="140" t="s">
        <v>377</v>
      </c>
      <c r="O54" s="151" t="s">
        <v>345</v>
      </c>
      <c r="P54" s="151" t="s">
        <v>343</v>
      </c>
      <c r="Q54" s="147" cm="1">
        <f t="array" aca="1" ref="Q54" ca="1">IF($N54="Y",((VLOOKUP($O54,INDIRECT($N$3),Q$6,0)))*INDIRECT($N$2),(VLOOKUP($O54,INDIRECT($N$3),Q$6,0)))</f>
        <v>2.1588354786736907</v>
      </c>
      <c r="R54" s="140"/>
      <c r="S54" s="140"/>
      <c r="T54" s="140"/>
      <c r="U54" s="140"/>
      <c r="W54" s="116" t="str">
        <f>O54</f>
        <v>CEQOPA</v>
      </c>
      <c r="X54" s="117"/>
      <c r="Y54" s="116" t="str">
        <f t="shared" ref="Y54:Z56" si="11">P54</f>
        <v>TL-OSHA Prot Equip A-CEQ</v>
      </c>
      <c r="Z54" s="123">
        <f t="shared" ca="1" si="11"/>
        <v>2.1588354786736907</v>
      </c>
      <c r="AA54" s="117"/>
      <c r="AB54" s="125"/>
      <c r="AC54" s="125"/>
      <c r="AD54" s="125"/>
    </row>
    <row r="55" spans="1:30" s="33" customFormat="1" x14ac:dyDescent="0.2">
      <c r="A55" s="47" t="str">
        <f ca="1">"Level B (as defined by OSHA) - "&amp;TEXT(Q55,"$0.000")&amp;" per hour"</f>
        <v>Level B (as defined by OSHA) - $1.553 per hour</v>
      </c>
      <c r="E55" s="83"/>
      <c r="F55"/>
      <c r="G55"/>
      <c r="K55" s="34"/>
      <c r="L55" s="34"/>
      <c r="N55" s="140" t="s">
        <v>377</v>
      </c>
      <c r="O55" s="151" t="s">
        <v>346</v>
      </c>
      <c r="P55" s="151" t="s">
        <v>344</v>
      </c>
      <c r="Q55" s="147" cm="1">
        <f t="array" aca="1" ref="Q55" ca="1">IF($N55="Y",((VLOOKUP($O55,INDIRECT($N$3),Q$6,0)))*INDIRECT($N$2),(VLOOKUP($O55,INDIRECT($N$3),Q$6,0)))</f>
        <v>1.5528960166438697</v>
      </c>
      <c r="R55" s="140"/>
      <c r="S55" s="140"/>
      <c r="T55" s="140"/>
      <c r="U55" s="140"/>
      <c r="W55" s="116" t="str">
        <f>O55</f>
        <v>CEQOPB</v>
      </c>
      <c r="X55" s="117"/>
      <c r="Y55" s="116" t="str">
        <f t="shared" si="11"/>
        <v>TL-OSHA Prot Equip B-CEQ</v>
      </c>
      <c r="Z55" s="123">
        <f t="shared" ca="1" si="11"/>
        <v>1.5528960166438697</v>
      </c>
      <c r="AA55" s="117"/>
      <c r="AB55" s="125"/>
      <c r="AC55" s="125"/>
      <c r="AD55" s="125"/>
    </row>
    <row r="56" spans="1:30" x14ac:dyDescent="0.2">
      <c r="A56" s="47" t="str">
        <f ca="1">"Level C (as defined by OSHA) - "&amp;TEXT(Q56,"$0.000")&amp;" per hour"</f>
        <v>Level C (as defined by OSHA) - $1.036 per hour</v>
      </c>
      <c r="B56" s="20"/>
      <c r="C56" s="19"/>
      <c r="D56" s="19"/>
      <c r="E56" s="80"/>
      <c r="F56"/>
      <c r="G56"/>
      <c r="H56" s="37"/>
      <c r="I56" s="37"/>
      <c r="J56" s="37"/>
      <c r="K56" s="50"/>
      <c r="N56" s="140" t="s">
        <v>377</v>
      </c>
      <c r="O56" s="139" t="s">
        <v>326</v>
      </c>
      <c r="P56" s="139" t="s">
        <v>325</v>
      </c>
      <c r="Q56" s="147" cm="1">
        <f t="array" aca="1" ref="Q56" ca="1">IF($N56="Y",((VLOOKUP($O56,INDIRECT($N$3),Q$6,0)))*INDIRECT($N$2),(VLOOKUP($O56,INDIRECT($N$3),Q$6,0)))</f>
        <v>1.0357337316091142</v>
      </c>
      <c r="W56" s="116" t="str">
        <f>O56</f>
        <v>CEQOPC</v>
      </c>
      <c r="Y56" s="116" t="str">
        <f t="shared" si="11"/>
        <v>TL-OSHA Prot Equip C-CEQ</v>
      </c>
      <c r="Z56" s="123">
        <f t="shared" ca="1" si="11"/>
        <v>1.0357337316091142</v>
      </c>
    </row>
    <row r="57" spans="1:30" x14ac:dyDescent="0.2">
      <c r="A57" s="39"/>
      <c r="B57" s="20"/>
      <c r="C57" s="19"/>
      <c r="D57" s="19"/>
      <c r="E57" s="80"/>
      <c r="H57" s="37"/>
      <c r="I57" s="37"/>
      <c r="J57" s="37"/>
      <c r="K57" s="50"/>
      <c r="Q57" s="152"/>
    </row>
    <row r="58" spans="1:30" x14ac:dyDescent="0.2">
      <c r="A58" s="173" t="s">
        <v>426</v>
      </c>
      <c r="B58" s="174"/>
      <c r="C58" s="175"/>
      <c r="D58" s="19"/>
      <c r="E58" s="80"/>
      <c r="H58" s="37"/>
      <c r="I58" s="37"/>
      <c r="J58" s="37"/>
      <c r="K58" s="50"/>
      <c r="N58" s="192"/>
      <c r="O58" s="182"/>
      <c r="P58" s="182"/>
      <c r="Q58" s="183"/>
      <c r="W58" s="185"/>
      <c r="X58" s="186"/>
      <c r="Y58" s="185"/>
      <c r="Z58" s="187"/>
    </row>
    <row r="59" spans="1:30" x14ac:dyDescent="0.2">
      <c r="A59" s="176" t="s">
        <v>427</v>
      </c>
      <c r="B59" s="177"/>
      <c r="C59" s="178"/>
      <c r="D59" s="19"/>
      <c r="E59" s="19"/>
      <c r="F59" s="19"/>
      <c r="G59" s="19"/>
      <c r="H59" s="37"/>
      <c r="I59" s="37"/>
      <c r="J59" s="37"/>
      <c r="N59" s="192"/>
      <c r="O59" s="182"/>
      <c r="P59" s="182"/>
      <c r="Q59" s="184"/>
      <c r="W59" s="185"/>
      <c r="X59" s="186"/>
      <c r="Y59" s="185"/>
      <c r="Z59" s="186"/>
    </row>
    <row r="60" spans="1:30" x14ac:dyDescent="0.2">
      <c r="A60" s="179" t="s">
        <v>428</v>
      </c>
      <c r="B60" s="177"/>
      <c r="C60" s="177"/>
      <c r="D60" s="19"/>
      <c r="E60" s="19"/>
      <c r="F60" s="19"/>
      <c r="G60" s="19"/>
      <c r="H60" s="37"/>
      <c r="I60" s="37"/>
      <c r="J60" s="37"/>
      <c r="N60" s="192"/>
      <c r="O60" s="182"/>
      <c r="P60" s="182"/>
      <c r="Q60" s="183"/>
      <c r="W60" s="185"/>
      <c r="X60" s="186"/>
      <c r="Y60" s="185"/>
      <c r="Z60" s="187"/>
    </row>
    <row r="61" spans="1:30" x14ac:dyDescent="0.2">
      <c r="A61" s="180"/>
      <c r="B61" s="177" t="s">
        <v>10</v>
      </c>
      <c r="C61" s="181" t="s">
        <v>472</v>
      </c>
      <c r="D61" s="19"/>
      <c r="E61" s="19"/>
      <c r="F61" s="19"/>
      <c r="G61" s="19"/>
      <c r="H61" s="37"/>
      <c r="I61" s="37"/>
      <c r="J61" s="37"/>
      <c r="N61" s="192"/>
      <c r="O61" s="182"/>
      <c r="P61" s="182"/>
      <c r="Q61" s="184"/>
      <c r="W61" s="185"/>
      <c r="X61" s="186"/>
      <c r="Y61" s="185"/>
      <c r="Z61" s="186"/>
    </row>
    <row r="62" spans="1:30" x14ac:dyDescent="0.2">
      <c r="A62" s="180"/>
      <c r="B62" s="177"/>
      <c r="C62" s="181" t="s">
        <v>473</v>
      </c>
      <c r="D62" s="19"/>
      <c r="E62" s="19"/>
      <c r="F62" s="19"/>
      <c r="G62" s="19"/>
      <c r="H62" s="37"/>
      <c r="I62" s="37"/>
      <c r="J62" s="37"/>
      <c r="N62" s="192"/>
      <c r="O62" s="182"/>
      <c r="P62" s="182"/>
      <c r="Q62" s="184"/>
      <c r="W62" s="185"/>
      <c r="X62" s="186"/>
      <c r="Y62" s="185"/>
      <c r="Z62" s="186"/>
    </row>
    <row r="63" spans="1:30" x14ac:dyDescent="0.2">
      <c r="A63" s="177"/>
      <c r="B63" s="177" t="s">
        <v>186</v>
      </c>
      <c r="C63" s="181" t="s">
        <v>429</v>
      </c>
      <c r="D63" s="19"/>
      <c r="E63" s="19"/>
      <c r="F63" s="19"/>
      <c r="G63" s="19"/>
      <c r="H63" s="53"/>
      <c r="I63" s="37"/>
      <c r="J63" s="37"/>
      <c r="N63" s="192"/>
      <c r="O63" s="182"/>
      <c r="P63" s="182"/>
      <c r="Q63" s="184"/>
      <c r="W63" s="185"/>
      <c r="X63" s="186"/>
      <c r="Y63" s="185"/>
      <c r="Z63" s="186"/>
    </row>
    <row r="64" spans="1:30" x14ac:dyDescent="0.2">
      <c r="A64" s="177"/>
      <c r="B64" s="177" t="s">
        <v>187</v>
      </c>
      <c r="C64" s="181" t="s">
        <v>430</v>
      </c>
      <c r="D64" s="19"/>
      <c r="E64" s="19"/>
      <c r="F64" s="19"/>
      <c r="G64" s="19"/>
      <c r="I64" s="37"/>
      <c r="J64" s="37"/>
      <c r="K64" s="50"/>
      <c r="N64" s="192"/>
      <c r="O64" s="182"/>
      <c r="P64" s="182"/>
      <c r="Q64" s="183"/>
      <c r="W64" s="185"/>
      <c r="X64" s="186"/>
      <c r="Y64" s="185"/>
      <c r="Z64" s="187"/>
    </row>
    <row r="65" spans="1:30" x14ac:dyDescent="0.2">
      <c r="A65" s="177"/>
      <c r="B65" s="177" t="s">
        <v>188</v>
      </c>
      <c r="C65" s="181" t="s">
        <v>431</v>
      </c>
      <c r="D65" s="19"/>
      <c r="E65" s="19"/>
      <c r="F65" s="19"/>
      <c r="G65" s="19"/>
      <c r="I65" s="37"/>
      <c r="J65" s="37"/>
      <c r="K65" s="50"/>
      <c r="N65" s="192"/>
      <c r="O65" s="182"/>
      <c r="P65" s="182"/>
      <c r="Q65" s="183"/>
      <c r="W65" s="185"/>
      <c r="X65" s="186"/>
      <c r="Y65" s="185"/>
      <c r="Z65" s="187"/>
    </row>
    <row r="66" spans="1:30" x14ac:dyDescent="0.2">
      <c r="A66" s="18"/>
      <c r="B66" s="20"/>
      <c r="C66" s="19"/>
      <c r="D66" s="19"/>
      <c r="E66" s="80"/>
      <c r="F66" s="19"/>
      <c r="G66" s="19"/>
      <c r="H66" s="37"/>
      <c r="I66" s="37"/>
      <c r="J66" s="37"/>
    </row>
    <row r="67" spans="1:30" x14ac:dyDescent="0.2">
      <c r="A67" s="43"/>
      <c r="B67" s="51"/>
      <c r="D67" s="19"/>
      <c r="E67" s="80"/>
      <c r="F67" s="19"/>
      <c r="G67" s="19"/>
      <c r="H67" s="37"/>
      <c r="I67"/>
      <c r="J67" s="37"/>
      <c r="K67" s="50"/>
    </row>
    <row r="68" spans="1:30" x14ac:dyDescent="0.2">
      <c r="A68" s="173" t="s">
        <v>474</v>
      </c>
      <c r="B68" s="188"/>
      <c r="C68" s="19"/>
      <c r="D68" s="19"/>
      <c r="E68" s="80"/>
      <c r="F68" s="19"/>
      <c r="G68" s="19"/>
      <c r="H68" s="37"/>
      <c r="I68" s="37"/>
      <c r="J68" s="19"/>
      <c r="Q68" s="147"/>
      <c r="R68" s="154"/>
      <c r="Z68" s="123"/>
    </row>
    <row r="69" spans="1:30" x14ac:dyDescent="0.2">
      <c r="A69" s="173" t="s">
        <v>251</v>
      </c>
      <c r="B69" s="188"/>
      <c r="C69" s="19"/>
      <c r="D69" s="19"/>
      <c r="E69" s="80"/>
      <c r="F69" s="19"/>
      <c r="G69" s="19"/>
      <c r="H69" s="37"/>
      <c r="I69" s="37"/>
      <c r="J69" s="19"/>
      <c r="Q69" s="147"/>
      <c r="R69" s="154"/>
      <c r="Z69" s="123"/>
    </row>
    <row r="70" spans="1:30" x14ac:dyDescent="0.2">
      <c r="A70" s="179" t="s">
        <v>432</v>
      </c>
      <c r="B70" s="176"/>
      <c r="C70" s="19"/>
      <c r="D70" s="19"/>
      <c r="E70" s="80"/>
      <c r="F70" s="19"/>
      <c r="G70" s="19"/>
    </row>
    <row r="71" spans="1:30" x14ac:dyDescent="0.2">
      <c r="A71" s="180"/>
      <c r="B71" s="177" t="s">
        <v>10</v>
      </c>
      <c r="C71" s="191" t="s">
        <v>470</v>
      </c>
      <c r="D71" s="19"/>
      <c r="E71" s="80"/>
      <c r="F71" s="19"/>
      <c r="G71" s="19"/>
      <c r="H71"/>
      <c r="I71"/>
      <c r="O71" s="182"/>
      <c r="P71" s="182"/>
      <c r="Q71" s="183"/>
      <c r="R71" s="194"/>
      <c r="W71" s="185"/>
      <c r="X71" s="186"/>
      <c r="Y71" s="185"/>
      <c r="Z71" s="187"/>
    </row>
    <row r="72" spans="1:30" x14ac:dyDescent="0.2">
      <c r="A72" s="180"/>
      <c r="B72" s="177"/>
      <c r="C72" s="191" t="s">
        <v>471</v>
      </c>
      <c r="D72" s="19"/>
      <c r="E72" s="80"/>
      <c r="F72" s="19"/>
      <c r="G72" s="19"/>
      <c r="H72"/>
      <c r="I72"/>
      <c r="O72" s="182"/>
      <c r="P72" s="182"/>
      <c r="Q72" s="183"/>
      <c r="R72" s="194"/>
      <c r="W72" s="185"/>
      <c r="X72" s="186"/>
      <c r="Y72" s="185"/>
      <c r="Z72" s="187"/>
    </row>
    <row r="73" spans="1:30" x14ac:dyDescent="0.2">
      <c r="A73" s="180"/>
      <c r="B73" s="177" t="s">
        <v>186</v>
      </c>
      <c r="C73" s="191" t="s">
        <v>433</v>
      </c>
      <c r="D73" s="19"/>
      <c r="E73" s="80"/>
      <c r="F73" s="19"/>
      <c r="G73" s="19"/>
      <c r="H73" s="58"/>
      <c r="I73" s="33"/>
      <c r="J73" s="33"/>
      <c r="O73" s="182"/>
      <c r="P73" s="182"/>
      <c r="Q73" s="192"/>
      <c r="R73" s="192"/>
      <c r="W73" s="185"/>
      <c r="X73" s="186"/>
      <c r="Y73" s="185"/>
      <c r="Z73" s="186"/>
    </row>
    <row r="74" spans="1:30" x14ac:dyDescent="0.2">
      <c r="A74"/>
      <c r="B74" s="177" t="s">
        <v>187</v>
      </c>
      <c r="C74" s="191" t="s">
        <v>434</v>
      </c>
      <c r="D74" s="19"/>
      <c r="E74" s="80"/>
      <c r="F74" s="19"/>
      <c r="G74" s="19"/>
      <c r="H74" s="58"/>
      <c r="I74" s="33"/>
      <c r="J74" s="33"/>
      <c r="O74" s="182"/>
      <c r="P74" s="182"/>
      <c r="Q74" s="192"/>
      <c r="R74" s="192"/>
      <c r="W74" s="185"/>
      <c r="X74" s="186"/>
      <c r="Y74" s="185"/>
      <c r="Z74" s="186"/>
    </row>
    <row r="75" spans="1:30" x14ac:dyDescent="0.2">
      <c r="A75"/>
      <c r="B75" s="177" t="s">
        <v>188</v>
      </c>
      <c r="C75" s="191" t="s">
        <v>435</v>
      </c>
      <c r="D75" s="33"/>
      <c r="E75" s="83"/>
      <c r="F75" s="33"/>
      <c r="G75" s="33"/>
      <c r="H75"/>
      <c r="I75"/>
      <c r="J75"/>
      <c r="K75" s="60"/>
      <c r="O75" s="182"/>
      <c r="P75" s="182"/>
      <c r="Q75" s="183"/>
      <c r="R75" s="194"/>
      <c r="W75" s="185"/>
      <c r="X75" s="186"/>
      <c r="Y75" s="185"/>
      <c r="Z75" s="187"/>
    </row>
    <row r="76" spans="1:30" s="33" customFormat="1" x14ac:dyDescent="0.2">
      <c r="A76" s="113"/>
      <c r="B76" s="57"/>
      <c r="E76" s="83"/>
      <c r="H76"/>
      <c r="I76"/>
      <c r="J76"/>
      <c r="K76" s="34"/>
      <c r="L76" s="34"/>
      <c r="N76" s="140"/>
      <c r="O76" s="182"/>
      <c r="P76" s="182"/>
      <c r="Q76" s="183"/>
      <c r="R76" s="194"/>
      <c r="S76" s="140"/>
      <c r="T76" s="140"/>
      <c r="U76" s="140"/>
      <c r="W76" s="185"/>
      <c r="X76" s="186"/>
      <c r="Y76" s="185"/>
      <c r="Z76" s="187"/>
      <c r="AA76" s="117"/>
      <c r="AB76" s="125"/>
      <c r="AC76" s="125"/>
      <c r="AD76" s="125"/>
    </row>
    <row r="77" spans="1:30" s="33" customFormat="1" x14ac:dyDescent="0.2">
      <c r="A77" s="113"/>
      <c r="B77" s="57"/>
      <c r="E77" s="83"/>
      <c r="H77"/>
      <c r="I77"/>
      <c r="J77"/>
      <c r="K77" s="34"/>
      <c r="L77" s="34"/>
      <c r="N77" s="140"/>
      <c r="O77" s="182"/>
      <c r="P77" s="182"/>
      <c r="Q77" s="183"/>
      <c r="R77" s="194"/>
      <c r="S77" s="140"/>
      <c r="T77" s="140"/>
      <c r="U77" s="140"/>
      <c r="W77" s="185"/>
      <c r="X77" s="186"/>
      <c r="Y77" s="185"/>
      <c r="Z77" s="187"/>
      <c r="AA77" s="117"/>
      <c r="AB77" s="125"/>
      <c r="AC77" s="125"/>
      <c r="AD77" s="125"/>
    </row>
    <row r="78" spans="1:30" s="33" customFormat="1" x14ac:dyDescent="0.2">
      <c r="A78" s="113"/>
      <c r="B78" s="57"/>
      <c r="E78" s="83"/>
      <c r="H78"/>
      <c r="I78"/>
      <c r="J78"/>
      <c r="K78" s="34"/>
      <c r="L78" s="34"/>
      <c r="N78" s="140"/>
      <c r="O78" s="182"/>
      <c r="P78" s="182"/>
      <c r="Q78" s="183"/>
      <c r="R78" s="194"/>
      <c r="S78" s="140"/>
      <c r="T78" s="140"/>
      <c r="U78" s="140"/>
      <c r="W78" s="185"/>
      <c r="X78" s="186"/>
      <c r="Y78" s="185"/>
      <c r="Z78" s="187"/>
      <c r="AA78" s="117"/>
      <c r="AB78" s="125"/>
      <c r="AC78" s="125"/>
      <c r="AD78" s="125"/>
    </row>
    <row r="79" spans="1:30" s="33" customFormat="1" x14ac:dyDescent="0.2">
      <c r="A79" s="113"/>
      <c r="B79" s="57"/>
      <c r="E79" s="83"/>
      <c r="H79"/>
      <c r="I79"/>
      <c r="J79"/>
      <c r="K79" s="34"/>
      <c r="L79" s="34"/>
      <c r="N79" s="140"/>
      <c r="O79" s="182"/>
      <c r="P79" s="182"/>
      <c r="Q79" s="183"/>
      <c r="R79" s="194"/>
      <c r="S79" s="140"/>
      <c r="T79" s="140"/>
      <c r="U79" s="140"/>
      <c r="W79" s="185"/>
      <c r="X79" s="186"/>
      <c r="Y79" s="185"/>
      <c r="Z79" s="187"/>
      <c r="AA79" s="117"/>
      <c r="AB79" s="125"/>
      <c r="AC79" s="125"/>
      <c r="AD79" s="125"/>
    </row>
    <row r="80" spans="1:30" s="33" customFormat="1" x14ac:dyDescent="0.2">
      <c r="A80" s="173" t="s">
        <v>413</v>
      </c>
      <c r="B80" s="190"/>
      <c r="C80" s="190"/>
      <c r="D80" s="190"/>
      <c r="E80" s="195"/>
      <c r="H80" s="55"/>
      <c r="I80"/>
      <c r="J80"/>
      <c r="K80" s="34"/>
      <c r="L80" s="34"/>
      <c r="N80" s="140"/>
      <c r="O80" s="182"/>
      <c r="P80" s="182"/>
      <c r="Q80" s="183"/>
      <c r="R80" s="194"/>
      <c r="S80" s="140"/>
      <c r="T80" s="140"/>
      <c r="U80" s="140"/>
      <c r="W80" s="185"/>
      <c r="X80" s="186"/>
      <c r="Y80" s="185"/>
      <c r="Z80" s="187"/>
      <c r="AA80" s="117"/>
      <c r="AB80" s="125"/>
      <c r="AC80" s="125"/>
      <c r="AD80" s="125"/>
    </row>
    <row r="81" spans="1:30" s="33" customFormat="1" x14ac:dyDescent="0.2">
      <c r="A81" s="101" t="s">
        <v>211</v>
      </c>
      <c r="B81" s="190"/>
      <c r="C81" s="190"/>
      <c r="D81" s="190"/>
      <c r="E81" s="195"/>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175" t="s">
        <v>102</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75" t="s">
        <v>103</v>
      </c>
      <c r="B83" s="190"/>
      <c r="C83" s="190"/>
      <c r="D83" s="190"/>
      <c r="E83" s="195"/>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75" t="s">
        <v>104</v>
      </c>
      <c r="B84" s="190"/>
      <c r="C84" s="190"/>
      <c r="D84" s="190"/>
      <c r="E84" s="195"/>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75" t="s">
        <v>439</v>
      </c>
      <c r="B85" s="190"/>
      <c r="C85" s="190"/>
      <c r="D85" s="190"/>
      <c r="E85" s="195"/>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6" t="s">
        <v>294</v>
      </c>
      <c r="B86" s="175" t="str">
        <f ca="1">"If an employee shows proof of successfully passing any ten (10) of the ASE tests: "&amp;TEXT(Q86,"$#,##0.000")&amp;"/hour"</f>
        <v>If an employee shows proof of successfully passing any ten (10) of the ASE tests: $0.900/hour</v>
      </c>
      <c r="C86" s="190"/>
      <c r="D86" s="190"/>
      <c r="E86" s="195"/>
      <c r="F86" s="33"/>
      <c r="G86" s="33"/>
      <c r="H86"/>
      <c r="I86" s="61"/>
      <c r="J86" s="2"/>
      <c r="K86" s="60"/>
      <c r="M86" s="2"/>
      <c r="N86" s="140" t="s">
        <v>377</v>
      </c>
      <c r="O86" s="139" t="s">
        <v>331</v>
      </c>
      <c r="P86" s="139" t="s">
        <v>327</v>
      </c>
      <c r="Q86" s="147" cm="1">
        <f t="array" aca="1" ref="Q86" ca="1">IF($N86="Y",((VLOOKUP($O86,INDIRECT($N$3),Q$6,0)))*INDIRECT($N$2),(VLOOKUP($O86,INDIRECT($N$3),Q$6,0)))</f>
        <v>0.89974499999999991</v>
      </c>
      <c r="R86" s="140"/>
      <c r="S86" s="140"/>
      <c r="T86" s="140"/>
      <c r="U86" s="140"/>
      <c r="V86" s="2"/>
      <c r="W86" s="116" t="str">
        <f>O86</f>
        <v>CEQASA</v>
      </c>
      <c r="X86" s="117"/>
      <c r="Y86" s="116" t="str">
        <f t="shared" ref="Y86:Z88" si="12">P86</f>
        <v>ASE Certification - A</v>
      </c>
      <c r="Z86" s="123">
        <f t="shared" ca="1" si="12"/>
        <v>0.89974499999999991</v>
      </c>
      <c r="AA86" s="257" t="s">
        <v>469</v>
      </c>
      <c r="AB86" s="116"/>
      <c r="AC86" s="136"/>
      <c r="AD86" s="136"/>
    </row>
    <row r="87" spans="1:30" s="5" customFormat="1" x14ac:dyDescent="0.2">
      <c r="A87" s="196" t="s">
        <v>295</v>
      </c>
      <c r="B87" s="175" t="str">
        <f ca="1">"If an employee shows proof of successfully passing any twelve (12) of the ASE tests: "&amp;TEXT(Q87,"$#,###.000")&amp;"/hour"</f>
        <v>If an employee shows proof of successfully passing any twelve (12) of the ASE tests: $1.799/hour</v>
      </c>
      <c r="C87" s="190"/>
      <c r="D87" s="190"/>
      <c r="E87" s="195"/>
      <c r="F87" s="33"/>
      <c r="G87" s="33"/>
      <c r="H87" s="55"/>
      <c r="I87" s="61"/>
      <c r="J87" s="2"/>
      <c r="K87" s="60"/>
      <c r="M87" s="2"/>
      <c r="N87" s="140" t="s">
        <v>377</v>
      </c>
      <c r="O87" s="139" t="s">
        <v>332</v>
      </c>
      <c r="P87" s="139" t="s">
        <v>328</v>
      </c>
      <c r="Q87" s="147" cm="1">
        <f t="array" aca="1" ref="Q87" ca="1">IF($N87="Y",((VLOOKUP($O87,INDIRECT($N$3),Q$6,0)))*INDIRECT($N$2),(VLOOKUP($O87,INDIRECT($N$3),Q$6,0)))</f>
        <v>1.7994899999999998</v>
      </c>
      <c r="R87" s="140"/>
      <c r="S87" s="140"/>
      <c r="T87" s="140"/>
      <c r="U87" s="140"/>
      <c r="V87" s="2"/>
      <c r="W87" s="116" t="str">
        <f>O87</f>
        <v>CEQASB</v>
      </c>
      <c r="X87" s="117"/>
      <c r="Y87" s="116" t="str">
        <f t="shared" si="12"/>
        <v>ASE Certification - B</v>
      </c>
      <c r="Z87" s="123">
        <f t="shared" ca="1" si="12"/>
        <v>1.7994899999999998</v>
      </c>
      <c r="AA87" s="117"/>
      <c r="AB87" s="116"/>
      <c r="AC87" s="136"/>
      <c r="AD87" s="136"/>
    </row>
    <row r="88" spans="1:30" s="5" customFormat="1" x14ac:dyDescent="0.2">
      <c r="A88" s="196" t="s">
        <v>296</v>
      </c>
      <c r="B88" s="175" t="str">
        <f ca="1">"If an employee shows proof of successfully passing any fourteen (14) of the ASE tests: "&amp;TEXT(Q88,"$#,###.000")&amp;"/hour"</f>
        <v>If an employee shows proof of successfully passing any fourteen (14) of the ASE tests: $2.699/hour</v>
      </c>
      <c r="C88" s="190"/>
      <c r="D88" s="190"/>
      <c r="E88" s="195"/>
      <c r="F88" s="33"/>
      <c r="G88" s="33"/>
      <c r="H88" s="55"/>
      <c r="I88"/>
      <c r="J88"/>
      <c r="K88" s="60"/>
      <c r="M88" s="2"/>
      <c r="N88" s="140" t="s">
        <v>377</v>
      </c>
      <c r="O88" s="139" t="s">
        <v>333</v>
      </c>
      <c r="P88" s="139" t="s">
        <v>329</v>
      </c>
      <c r="Q88" s="147" cm="1">
        <f t="array" aca="1" ref="Q88" ca="1">IF($N88="Y",((VLOOKUP($O88,INDIRECT($N$3),Q$6,0)))*INDIRECT($N$2),(VLOOKUP($O88,INDIRECT($N$3),Q$6,0)))</f>
        <v>2.6992349999999998</v>
      </c>
      <c r="R88" s="140"/>
      <c r="S88" s="140"/>
      <c r="T88" s="140"/>
      <c r="U88" s="140"/>
      <c r="V88" s="2"/>
      <c r="W88" s="116" t="str">
        <f>O88</f>
        <v>CEQASC</v>
      </c>
      <c r="X88" s="117"/>
      <c r="Y88" s="116" t="str">
        <f t="shared" si="12"/>
        <v>ASE Certification - C</v>
      </c>
      <c r="Z88" s="123">
        <f t="shared" ca="1" si="12"/>
        <v>2.6992349999999998</v>
      </c>
      <c r="AA88" s="117"/>
      <c r="AB88" s="116"/>
      <c r="AC88" s="136"/>
      <c r="AD88" s="136"/>
    </row>
    <row r="89" spans="1:30" s="5" customFormat="1" x14ac:dyDescent="0.2">
      <c r="A89"/>
      <c r="B89"/>
      <c r="C89"/>
      <c r="D89"/>
      <c r="E89"/>
      <c r="F89" s="33"/>
      <c r="G89" s="33"/>
      <c r="H89" s="37"/>
      <c r="I89" s="61"/>
      <c r="J89" s="2"/>
      <c r="K89" s="60"/>
      <c r="M89" s="2"/>
      <c r="N89" s="162"/>
      <c r="O89" s="162"/>
      <c r="P89" s="162"/>
      <c r="Q89" s="162"/>
      <c r="R89" s="140"/>
      <c r="S89" s="140"/>
      <c r="T89" s="140"/>
      <c r="U89" s="140"/>
      <c r="V89" s="2"/>
      <c r="W89" s="116"/>
      <c r="X89" s="117"/>
      <c r="Y89" s="116"/>
      <c r="Z89" s="117"/>
      <c r="AA89" s="117"/>
      <c r="AB89" s="116"/>
      <c r="AC89" s="136"/>
      <c r="AD89" s="136"/>
    </row>
    <row r="90" spans="1:30" s="5" customFormat="1" x14ac:dyDescent="0.2">
      <c r="A90"/>
      <c r="B90" s="197"/>
      <c r="C90" s="176" t="s">
        <v>116</v>
      </c>
      <c r="D90" s="175"/>
      <c r="E90" s="175" t="s">
        <v>117</v>
      </c>
      <c r="F90" s="19"/>
      <c r="H90" s="37"/>
      <c r="I90" s="61"/>
      <c r="J90" s="2"/>
      <c r="K90" s="60"/>
      <c r="M90" s="2"/>
      <c r="N90" s="162"/>
      <c r="O90" s="162"/>
      <c r="P90" s="162"/>
      <c r="Q90" s="162"/>
      <c r="R90" s="140"/>
      <c r="S90" s="140"/>
      <c r="T90" s="140"/>
      <c r="U90" s="140"/>
      <c r="V90" s="2"/>
      <c r="W90" s="116"/>
      <c r="X90" s="117"/>
      <c r="Y90" s="116"/>
      <c r="Z90" s="117"/>
      <c r="AA90" s="117"/>
      <c r="AB90" s="116"/>
      <c r="AC90" s="136"/>
      <c r="AD90" s="136"/>
    </row>
    <row r="91" spans="1:30" s="5" customFormat="1" x14ac:dyDescent="0.2">
      <c r="A91"/>
      <c r="B91" s="197"/>
      <c r="C91" s="176" t="s">
        <v>118</v>
      </c>
      <c r="D91" s="175"/>
      <c r="E91" s="175" t="s">
        <v>119</v>
      </c>
      <c r="F91" s="19"/>
      <c r="H91" s="37"/>
      <c r="I91" s="61"/>
      <c r="J91" s="2"/>
      <c r="K91" s="60"/>
      <c r="M91" s="2"/>
      <c r="N91" s="140" t="s">
        <v>377</v>
      </c>
      <c r="O91" s="139" t="s">
        <v>455</v>
      </c>
      <c r="P91" s="251" t="s">
        <v>476</v>
      </c>
      <c r="Q91" s="147" cm="1">
        <f t="array" aca="1" ref="Q91" ca="1">IF($N91="Y",((VLOOKUP($O91,INDIRECT($N$3),Q$6,0)))*INDIRECT($N$2),(VLOOKUP($O91,INDIRECT($N$3),Q$6,0)))</f>
        <v>0.89994999999999992</v>
      </c>
      <c r="R91" s="140"/>
      <c r="S91" s="140"/>
      <c r="T91" s="140"/>
      <c r="U91" s="140"/>
      <c r="V91" s="2"/>
      <c r="W91" s="116" t="s">
        <v>455</v>
      </c>
      <c r="X91" s="117"/>
      <c r="Y91" s="250" t="s">
        <v>476</v>
      </c>
      <c r="Z91" s="123">
        <f ca="1">Q91</f>
        <v>0.89994999999999992</v>
      </c>
      <c r="AA91" s="117"/>
      <c r="AB91" s="116"/>
      <c r="AC91" s="136"/>
      <c r="AD91" s="136"/>
    </row>
    <row r="92" spans="1:30" s="5" customFormat="1" x14ac:dyDescent="0.2">
      <c r="A92"/>
      <c r="B92" s="197"/>
      <c r="C92" s="176" t="s">
        <v>120</v>
      </c>
      <c r="D92" s="175"/>
      <c r="E92" s="175" t="s">
        <v>121</v>
      </c>
      <c r="F92" s="19"/>
      <c r="H92" s="37"/>
      <c r="I92" s="37"/>
      <c r="J92" s="37"/>
      <c r="M92" s="2"/>
      <c r="N92" s="140" t="s">
        <v>377</v>
      </c>
      <c r="O92" s="139" t="s">
        <v>456</v>
      </c>
      <c r="P92" s="251" t="s">
        <v>459</v>
      </c>
      <c r="Q92" s="147">
        <f ca="1">Q87</f>
        <v>1.7994899999999998</v>
      </c>
      <c r="R92" s="140"/>
      <c r="S92" s="140"/>
      <c r="T92" s="140"/>
      <c r="U92" s="140"/>
      <c r="V92" s="2"/>
      <c r="W92" s="116" t="s">
        <v>456</v>
      </c>
      <c r="X92" s="117"/>
      <c r="Y92" s="250" t="s">
        <v>459</v>
      </c>
      <c r="Z92" s="123">
        <f t="shared" ref="Z92:Z93" ca="1" si="13">Q92</f>
        <v>1.7994899999999998</v>
      </c>
      <c r="AA92" s="117"/>
      <c r="AB92" s="116"/>
      <c r="AC92" s="136"/>
      <c r="AD92" s="136"/>
    </row>
    <row r="93" spans="1:30" s="5" customFormat="1" x14ac:dyDescent="0.2">
      <c r="A93"/>
      <c r="B93" s="197"/>
      <c r="C93" s="176" t="s">
        <v>122</v>
      </c>
      <c r="D93" s="175"/>
      <c r="E93" s="175" t="s">
        <v>123</v>
      </c>
      <c r="F93" s="19"/>
      <c r="H93" s="37"/>
      <c r="I93" s="37"/>
      <c r="J93" s="37"/>
      <c r="M93" s="2"/>
      <c r="N93" s="140" t="s">
        <v>377</v>
      </c>
      <c r="O93" s="139" t="s">
        <v>457</v>
      </c>
      <c r="P93" s="251" t="s">
        <v>475</v>
      </c>
      <c r="Q93" s="147" cm="1">
        <f t="array" aca="1" ref="Q93" ca="1">IF($N93="Y",((VLOOKUP($O93,INDIRECT($N$3),Q$6,0)))*INDIRECT($N$2),(VLOOKUP($O93,INDIRECT($N$3),Q$6,0)))</f>
        <v>2.6988249999999998</v>
      </c>
      <c r="R93" s="140"/>
      <c r="S93" s="140"/>
      <c r="T93" s="140"/>
      <c r="U93" s="140"/>
      <c r="V93" s="2"/>
      <c r="W93" s="116" t="s">
        <v>457</v>
      </c>
      <c r="X93" s="117"/>
      <c r="Y93" s="250" t="s">
        <v>475</v>
      </c>
      <c r="Z93" s="123">
        <f t="shared" ca="1" si="13"/>
        <v>2.6988249999999998</v>
      </c>
      <c r="AA93" s="117"/>
      <c r="AB93" s="116"/>
      <c r="AC93" s="136"/>
      <c r="AD93" s="136"/>
    </row>
    <row r="94" spans="1:30" s="5" customFormat="1" x14ac:dyDescent="0.2">
      <c r="A94"/>
      <c r="B94" s="197"/>
      <c r="C94" s="176" t="s">
        <v>124</v>
      </c>
      <c r="D94" s="175"/>
      <c r="E94" s="175" t="s">
        <v>125</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c r="B95" s="197"/>
      <c r="C95" s="176" t="s">
        <v>126</v>
      </c>
      <c r="D95" s="175"/>
      <c r="E95" s="175" t="s">
        <v>127</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c r="B96" s="197"/>
      <c r="C96" s="175" t="s">
        <v>128</v>
      </c>
      <c r="D96" s="175"/>
      <c r="E96" s="175" t="s">
        <v>129</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5" t="s">
        <v>130</v>
      </c>
      <c r="D97" s="175"/>
      <c r="E97" s="175" t="s">
        <v>131</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c r="D98" s="175"/>
      <c r="E98" s="175"/>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132</v>
      </c>
      <c r="D99" s="175"/>
      <c r="E99" s="175" t="s">
        <v>133</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97"/>
      <c r="C100" s="175" t="s">
        <v>134</v>
      </c>
      <c r="D100" s="175"/>
      <c r="E100" s="175" t="s">
        <v>135</v>
      </c>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97"/>
      <c r="C101" s="175" t="s">
        <v>136</v>
      </c>
      <c r="D101" s="175"/>
      <c r="E101" s="175" t="s">
        <v>137</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78"/>
      <c r="C102" s="175"/>
      <c r="D102" s="175"/>
      <c r="E102" s="175" t="s">
        <v>138</v>
      </c>
      <c r="F102" s="41"/>
      <c r="G102" s="41"/>
      <c r="H102" s="63"/>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78"/>
      <c r="C103" s="175"/>
      <c r="D103" s="175"/>
      <c r="E103" s="175"/>
      <c r="F103" s="41"/>
      <c r="G103" s="41"/>
      <c r="H103" s="63"/>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80" t="s">
        <v>285</v>
      </c>
      <c r="C104" s="175" t="s">
        <v>286</v>
      </c>
      <c r="D104" s="197"/>
      <c r="E104" s="198"/>
      <c r="F104" s="41"/>
      <c r="G104" s="41"/>
      <c r="H104" s="63"/>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80" t="s">
        <v>285</v>
      </c>
      <c r="C105" s="175" t="s">
        <v>287</v>
      </c>
      <c r="D105" s="197"/>
      <c r="E105" s="198"/>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c r="C106" s="175" t="s">
        <v>141</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288</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t="s">
        <v>285</v>
      </c>
      <c r="C108" s="175" t="s">
        <v>289</v>
      </c>
      <c r="D108" s="197"/>
      <c r="E108" s="198"/>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290</v>
      </c>
      <c r="D109" s="197"/>
      <c r="E109" s="198"/>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c r="B110" s="180" t="s">
        <v>285</v>
      </c>
      <c r="C110" s="175" t="s">
        <v>440</v>
      </c>
      <c r="D110" s="197"/>
      <c r="E110" s="198"/>
      <c r="F110" s="19"/>
      <c r="G110" s="19"/>
      <c r="H110" s="37"/>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x14ac:dyDescent="0.2">
      <c r="A111"/>
      <c r="B111" s="180" t="s">
        <v>285</v>
      </c>
      <c r="C111" s="175" t="s">
        <v>292</v>
      </c>
      <c r="D111" s="197"/>
      <c r="E111" s="199"/>
      <c r="F111" s="19"/>
      <c r="G111" s="19"/>
      <c r="H111" s="37"/>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x14ac:dyDescent="0.2">
      <c r="A112"/>
      <c r="B112" s="180"/>
      <c r="C112" s="175"/>
      <c r="D112" s="197"/>
      <c r="E112" s="199"/>
      <c r="F112" s="19"/>
      <c r="G112" s="19"/>
      <c r="H112" s="37"/>
      <c r="I112" s="37"/>
      <c r="J112" s="37"/>
      <c r="Q112" s="147"/>
    </row>
    <row r="113" spans="1:30" x14ac:dyDescent="0.2">
      <c r="A113" s="43" t="s">
        <v>147</v>
      </c>
      <c r="B113" s="33"/>
      <c r="C113" s="33"/>
      <c r="D113" s="33"/>
      <c r="E113" s="83"/>
      <c r="F113" s="33"/>
      <c r="G113" s="33"/>
      <c r="H113" s="33"/>
      <c r="I113" s="33"/>
      <c r="J113" s="33"/>
      <c r="Q113" s="147"/>
    </row>
    <row r="114" spans="1:30" s="33" customFormat="1" x14ac:dyDescent="0.2">
      <c r="A114" s="19" t="str">
        <f ca="1">"Automotive Mechanics regularly assigned and working on an 'outside truck' shall be paid a premium of  "&amp;TEXT(Q114,"$0.000")&amp;" per hour on all compensated"</f>
        <v>Automotive Mechanics regularly assigned and working on an 'outside truck' shall be paid a premium of  $1.151 per hour on all compensated</v>
      </c>
      <c r="B114" s="20"/>
      <c r="C114" s="19"/>
      <c r="D114" s="19"/>
      <c r="E114" s="80"/>
      <c r="F114" s="19"/>
      <c r="G114" s="19"/>
      <c r="H114" s="2"/>
      <c r="I114"/>
      <c r="J114"/>
      <c r="K114" s="45"/>
      <c r="L114" s="34"/>
      <c r="N114" s="140" t="s">
        <v>377</v>
      </c>
      <c r="O114" s="151" t="s">
        <v>353</v>
      </c>
      <c r="P114" s="151" t="s">
        <v>354</v>
      </c>
      <c r="Q114" s="147" cm="1">
        <f t="array" aca="1" ref="Q114" ca="1">IF($N114="Y",((VLOOKUP($O114,INDIRECT($N$3),Q$6,0)))*INDIRECT($N$2),(VLOOKUP($O114,INDIRECT($N$3),Q$6,0)))</f>
        <v>1.1513688113812492</v>
      </c>
      <c r="R114" s="140"/>
      <c r="S114" s="140"/>
      <c r="T114" s="140"/>
      <c r="U114" s="140"/>
      <c r="W114" s="116" t="str">
        <f>O114</f>
        <v>CEQOTR</v>
      </c>
      <c r="X114" s="117"/>
      <c r="Y114" s="116" t="str">
        <f>P114</f>
        <v>TL-Outside Truck Premium-CEQ</v>
      </c>
      <c r="Z114" s="123">
        <f ca="1">Q114</f>
        <v>1.1513688113812492</v>
      </c>
      <c r="AA114" s="117"/>
      <c r="AB114" s="125"/>
      <c r="AC114" s="125"/>
      <c r="AD114" s="125"/>
    </row>
    <row r="115" spans="1:30" x14ac:dyDescent="0.2">
      <c r="A115" s="19" t="str">
        <f ca="1">"hours. Automotive Mechanics temporarily assigned on an 'outside truck' shall be paid a premium of "&amp;TEXT(Q114,"$0.000")&amp;" per hour for hours worked."</f>
        <v>hours. Automotive Mechanics temporarily assigned on an 'outside truck' shall be paid a premium of $1.151 per hour for hours worked.</v>
      </c>
      <c r="B115" s="20"/>
      <c r="C115" s="19"/>
      <c r="D115" s="19"/>
      <c r="E115" s="80"/>
      <c r="F115" s="19"/>
      <c r="G115" s="19"/>
      <c r="I115"/>
      <c r="J115"/>
      <c r="Q115" s="147"/>
    </row>
    <row r="116" spans="1:30" s="33" customFormat="1" x14ac:dyDescent="0.2">
      <c r="A116" s="39"/>
      <c r="E116" s="83"/>
      <c r="K116" s="45"/>
      <c r="L116" s="34"/>
      <c r="N116" s="140"/>
      <c r="O116" s="151"/>
      <c r="P116" s="151"/>
      <c r="Q116" s="147"/>
      <c r="R116" s="140"/>
      <c r="S116" s="140"/>
      <c r="T116" s="140"/>
      <c r="U116" s="140"/>
      <c r="W116" s="125"/>
      <c r="X116" s="117"/>
      <c r="Y116" s="125"/>
      <c r="Z116" s="117"/>
      <c r="AA116" s="117"/>
      <c r="AB116" s="125"/>
      <c r="AC116" s="125"/>
      <c r="AD116" s="125"/>
    </row>
    <row r="117" spans="1:30" s="33" customFormat="1" x14ac:dyDescent="0.2">
      <c r="A117" s="43" t="s">
        <v>153</v>
      </c>
      <c r="B117" s="20"/>
      <c r="C117" s="19"/>
      <c r="D117" s="19"/>
      <c r="E117" s="80"/>
      <c r="F117" s="19"/>
      <c r="G117" s="19"/>
      <c r="H117" s="37"/>
      <c r="I117" s="37"/>
      <c r="J117" s="37"/>
      <c r="K117" s="45"/>
      <c r="L117" s="34"/>
      <c r="N117" s="140"/>
      <c r="O117" s="151"/>
      <c r="P117" s="151"/>
      <c r="Q117" s="147"/>
      <c r="R117" s="140"/>
      <c r="S117" s="140"/>
      <c r="T117" s="140"/>
      <c r="U117" s="140"/>
      <c r="W117" s="125"/>
      <c r="X117" s="117"/>
      <c r="Y117" s="125"/>
      <c r="Z117" s="117"/>
      <c r="AA117" s="117"/>
      <c r="AB117" s="125"/>
      <c r="AC117" s="125"/>
      <c r="AD117" s="125"/>
    </row>
    <row r="118" spans="1:30" x14ac:dyDescent="0.2">
      <c r="A118" s="33" t="s">
        <v>154</v>
      </c>
      <c r="B118" s="20"/>
      <c r="C118" s="19"/>
      <c r="D118" s="19"/>
      <c r="E118" s="80"/>
      <c r="F118" s="19"/>
      <c r="G118" s="19"/>
      <c r="H118" s="37"/>
      <c r="I118" s="37"/>
      <c r="J118" s="37"/>
      <c r="Q118" s="147"/>
    </row>
    <row r="119" spans="1:30" x14ac:dyDescent="0.2">
      <c r="A119" s="109" t="str">
        <f ca="1">TEXT(Q119,"$0.000")&amp;" per hour for all hours worked where a 'spotter' or a harness  is required to perform the job in a safe manner."</f>
        <v>$0.554 per hour for all hours worked where a 'spotter' or a harness  is required to perform the job in a safe manner.</v>
      </c>
      <c r="B119" s="66"/>
      <c r="C119" s="33"/>
      <c r="D119" s="33"/>
      <c r="E119" s="83"/>
      <c r="F119" s="33"/>
      <c r="G119" s="33"/>
      <c r="H119" s="33"/>
      <c r="I119" s="33"/>
      <c r="J119" s="37"/>
      <c r="N119" s="140" t="s">
        <v>377</v>
      </c>
      <c r="O119" s="139" t="s">
        <v>355</v>
      </c>
      <c r="P119" s="139" t="s">
        <v>356</v>
      </c>
      <c r="Q119" s="147" cm="1">
        <f t="array" aca="1" ref="Q119" ca="1">IF($N119="Y",((VLOOKUP($O119,INDIRECT($N$3),Q$6,0)))*INDIRECT($N$2),(VLOOKUP($O119,INDIRECT($N$3),Q$6,0)))</f>
        <v>0.55398201738085917</v>
      </c>
      <c r="W119" s="116" t="str">
        <f>O119</f>
        <v>CEQCNF</v>
      </c>
      <c r="Y119" s="116" t="str">
        <f>P119</f>
        <v>TL-Confined Space Entry-CEQ</v>
      </c>
      <c r="Z119" s="123">
        <f ca="1">Q119</f>
        <v>0.55398201738085917</v>
      </c>
    </row>
    <row r="120" spans="1:30" x14ac:dyDescent="0.2">
      <c r="A120" s="39" t="s">
        <v>156</v>
      </c>
      <c r="B120" s="33"/>
      <c r="C120" s="33"/>
      <c r="D120" s="33"/>
      <c r="E120" s="83"/>
      <c r="F120" s="33"/>
      <c r="G120" s="33"/>
      <c r="H120" s="33"/>
      <c r="I120" s="33"/>
      <c r="J120" s="33"/>
      <c r="Q120" s="147"/>
    </row>
    <row r="121" spans="1:30" s="33" customFormat="1" x14ac:dyDescent="0.2">
      <c r="A121" s="39" t="s">
        <v>157</v>
      </c>
      <c r="E121" s="83"/>
      <c r="K121" s="34"/>
      <c r="L121" s="34"/>
      <c r="N121" s="140"/>
      <c r="O121" s="151"/>
      <c r="P121" s="151"/>
      <c r="Q121" s="147"/>
      <c r="R121" s="140"/>
      <c r="S121" s="140"/>
      <c r="T121" s="140"/>
      <c r="U121" s="140"/>
      <c r="W121" s="125"/>
      <c r="X121" s="117"/>
      <c r="Y121" s="125"/>
      <c r="Z121" s="117"/>
      <c r="AA121" s="117"/>
      <c r="AB121" s="125"/>
      <c r="AC121" s="125"/>
      <c r="AD121" s="125"/>
    </row>
    <row r="122" spans="1:30" s="33" customFormat="1" x14ac:dyDescent="0.2">
      <c r="A122" s="39"/>
      <c r="B122" s="66"/>
      <c r="C122" s="66"/>
      <c r="E122" s="83"/>
      <c r="K122" s="45"/>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43" t="s">
        <v>158</v>
      </c>
      <c r="B123" s="44"/>
      <c r="E123" s="83"/>
      <c r="K123" s="34"/>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33" t="s">
        <v>159</v>
      </c>
      <c r="B124" s="20"/>
      <c r="C124" s="68"/>
      <c r="D124" s="19"/>
      <c r="E124" s="80"/>
      <c r="F124" s="19"/>
      <c r="G124" s="19"/>
      <c r="I124" s="37"/>
      <c r="J124" s="37"/>
      <c r="K124" s="34"/>
      <c r="L124" s="34"/>
      <c r="N124" s="140"/>
      <c r="O124" s="151"/>
      <c r="P124" s="151"/>
      <c r="Q124" s="147"/>
      <c r="R124" s="140"/>
      <c r="S124" s="140"/>
      <c r="T124" s="140"/>
      <c r="U124" s="140"/>
      <c r="W124" s="125"/>
      <c r="X124" s="117"/>
      <c r="Y124" s="125"/>
      <c r="Z124" s="117"/>
      <c r="AA124" s="117"/>
      <c r="AB124" s="125"/>
      <c r="AC124" s="125"/>
      <c r="AD124" s="125"/>
    </row>
    <row r="125" spans="1:30" s="4" customFormat="1" x14ac:dyDescent="0.2">
      <c r="A125" s="111" t="s">
        <v>306</v>
      </c>
      <c r="B125" s="2" t="s">
        <v>309</v>
      </c>
      <c r="C125" s="2"/>
      <c r="D125" s="19"/>
      <c r="E125" s="80"/>
      <c r="F125" s="19"/>
      <c r="G125" s="19"/>
      <c r="H125" s="37"/>
      <c r="I125" s="37"/>
      <c r="J125" s="37"/>
      <c r="K125" s="5"/>
      <c r="L125" s="5"/>
      <c r="M125" s="2"/>
      <c r="N125" s="140"/>
      <c r="O125" s="139"/>
      <c r="P125" s="139"/>
      <c r="Q125" s="147"/>
      <c r="R125" s="140"/>
      <c r="S125" s="140"/>
      <c r="T125" s="140"/>
      <c r="U125" s="140"/>
      <c r="V125" s="2"/>
      <c r="W125" s="116"/>
      <c r="X125" s="117"/>
      <c r="Y125" s="116"/>
      <c r="Z125" s="117"/>
      <c r="AA125" s="117"/>
      <c r="AB125" s="116"/>
      <c r="AC125" s="116"/>
      <c r="AD125" s="116"/>
    </row>
    <row r="126" spans="1:30" s="4" customFormat="1" x14ac:dyDescent="0.2">
      <c r="A126" s="111" t="s">
        <v>307</v>
      </c>
      <c r="B126" s="2" t="s">
        <v>310</v>
      </c>
      <c r="C126" s="2"/>
      <c r="D126" s="41"/>
      <c r="E126" s="85"/>
      <c r="F126" s="41"/>
      <c r="G126" s="41"/>
      <c r="H126" s="63"/>
      <c r="I126" s="63"/>
      <c r="J126" s="63"/>
      <c r="K126" s="5"/>
      <c r="L126" s="5"/>
      <c r="M126" s="2"/>
      <c r="N126" s="140"/>
      <c r="O126" s="139"/>
      <c r="P126" s="139"/>
      <c r="Q126" s="147"/>
      <c r="R126" s="140"/>
      <c r="S126" s="140"/>
      <c r="T126" s="140"/>
      <c r="U126" s="140"/>
      <c r="V126" s="2"/>
      <c r="W126" s="116"/>
      <c r="X126" s="117"/>
      <c r="Y126" s="116"/>
      <c r="Z126" s="117"/>
      <c r="AA126" s="117"/>
      <c r="AB126" s="116"/>
      <c r="AC126" s="116"/>
      <c r="AD126" s="116"/>
    </row>
    <row r="127" spans="1:30" s="4" customFormat="1" x14ac:dyDescent="0.2">
      <c r="A127" s="111" t="s">
        <v>308</v>
      </c>
      <c r="B127" s="2" t="s">
        <v>311</v>
      </c>
      <c r="C127" s="2"/>
      <c r="D127" s="41"/>
      <c r="E127" s="85"/>
      <c r="F127" s="41"/>
      <c r="G127" s="41"/>
      <c r="H127" s="63"/>
      <c r="I127" s="63"/>
      <c r="J127" s="63"/>
      <c r="K127" s="5"/>
      <c r="L127" s="5"/>
      <c r="M127" s="2"/>
      <c r="N127" s="140"/>
      <c r="O127" s="139"/>
      <c r="P127" s="139"/>
      <c r="Q127" s="147"/>
      <c r="R127" s="140"/>
      <c r="S127" s="140"/>
      <c r="T127" s="140"/>
      <c r="U127" s="140"/>
      <c r="V127" s="2"/>
      <c r="W127" s="116"/>
      <c r="X127" s="117"/>
      <c r="Y127" s="116"/>
      <c r="Z127" s="117"/>
      <c r="AA127" s="117"/>
      <c r="AB127" s="116"/>
      <c r="AC127" s="116"/>
      <c r="AD127" s="116"/>
    </row>
    <row r="128" spans="1:30" s="4" customFormat="1" x14ac:dyDescent="0.2">
      <c r="A128" s="111" t="s">
        <v>315</v>
      </c>
      <c r="B128" s="2" t="s">
        <v>312</v>
      </c>
      <c r="C128" s="2"/>
      <c r="D128" s="41"/>
      <c r="E128" s="85"/>
      <c r="F128" s="41"/>
      <c r="G128" s="41"/>
      <c r="H128" s="63"/>
      <c r="I128" s="63"/>
      <c r="J128" s="63"/>
      <c r="K128" s="5"/>
      <c r="L128" s="5"/>
      <c r="M128" s="2"/>
      <c r="N128" s="140"/>
      <c r="O128" s="139"/>
      <c r="P128" s="139"/>
      <c r="Q128" s="147"/>
      <c r="R128" s="140"/>
      <c r="S128" s="140"/>
      <c r="T128" s="140"/>
      <c r="U128" s="140"/>
      <c r="V128" s="2"/>
      <c r="W128" s="116"/>
      <c r="X128" s="117"/>
      <c r="Y128" s="116"/>
      <c r="Z128" s="117"/>
      <c r="AA128" s="117"/>
      <c r="AB128" s="116"/>
      <c r="AC128" s="116"/>
      <c r="AD128" s="116"/>
    </row>
    <row r="129" spans="1:30" s="4" customFormat="1" x14ac:dyDescent="0.2">
      <c r="A129" s="111" t="s">
        <v>316</v>
      </c>
      <c r="B129" s="2" t="s">
        <v>313</v>
      </c>
      <c r="C129" s="2"/>
      <c r="D129" s="41"/>
      <c r="E129" s="85"/>
      <c r="F129" s="41"/>
      <c r="G129" s="41"/>
      <c r="H129" s="63"/>
      <c r="I129" s="63"/>
      <c r="J129" s="63"/>
      <c r="K129" s="5"/>
      <c r="L129" s="5"/>
      <c r="M129" s="2"/>
      <c r="N129" s="140"/>
      <c r="O129" s="139"/>
      <c r="P129" s="139"/>
      <c r="Q129" s="147"/>
      <c r="R129" s="140"/>
      <c r="S129" s="140"/>
      <c r="T129" s="140"/>
      <c r="U129" s="140"/>
      <c r="V129" s="2"/>
      <c r="W129" s="116"/>
      <c r="X129" s="117"/>
      <c r="Y129" s="116"/>
      <c r="Z129" s="117"/>
      <c r="AA129" s="117"/>
      <c r="AB129" s="116"/>
      <c r="AC129" s="116"/>
      <c r="AD129" s="116"/>
    </row>
    <row r="130" spans="1:30" s="4" customFormat="1" x14ac:dyDescent="0.2">
      <c r="A130" s="112" t="s">
        <v>317</v>
      </c>
      <c r="B130" s="2" t="s">
        <v>314</v>
      </c>
      <c r="C130" s="2"/>
      <c r="D130" s="41"/>
      <c r="E130" s="85"/>
      <c r="F130" s="41"/>
      <c r="G130" s="41"/>
      <c r="H130" s="63"/>
      <c r="I130" s="63"/>
      <c r="J130" s="63"/>
      <c r="K130" s="5"/>
      <c r="L130" s="5"/>
      <c r="M130" s="2"/>
      <c r="N130" s="140"/>
      <c r="O130" s="139"/>
      <c r="P130" s="139"/>
      <c r="Q130" s="147"/>
      <c r="R130" s="140"/>
      <c r="S130" s="140"/>
      <c r="T130" s="140"/>
      <c r="U130" s="140"/>
      <c r="V130" s="2"/>
      <c r="W130" s="116"/>
      <c r="X130" s="117"/>
      <c r="Y130" s="116"/>
      <c r="Z130" s="117"/>
      <c r="AA130" s="117"/>
      <c r="AB130" s="116"/>
      <c r="AC130" s="116"/>
      <c r="AD130" s="116"/>
    </row>
    <row r="131" spans="1:30" s="4" customFormat="1" x14ac:dyDescent="0.2">
      <c r="A131" s="19"/>
      <c r="B131" s="69"/>
      <c r="C131" s="41"/>
      <c r="D131" s="41"/>
      <c r="E131" s="85"/>
      <c r="F131" s="41"/>
      <c r="G131" s="41"/>
      <c r="H131" s="63"/>
      <c r="I131" s="63"/>
      <c r="J131" s="63"/>
      <c r="K131" s="5"/>
      <c r="L131" s="5"/>
      <c r="M131" s="2"/>
      <c r="N131" s="140"/>
      <c r="O131" s="139"/>
      <c r="P131" s="139"/>
      <c r="Q131" s="147"/>
      <c r="R131" s="140"/>
      <c r="S131" s="140"/>
      <c r="T131" s="140"/>
      <c r="U131" s="140"/>
      <c r="V131" s="2"/>
      <c r="W131" s="116"/>
      <c r="X131" s="117"/>
      <c r="Y131" s="116"/>
      <c r="Z131" s="117"/>
      <c r="AA131" s="117"/>
      <c r="AB131" s="116"/>
      <c r="AC131" s="116"/>
      <c r="AD131" s="116"/>
    </row>
    <row r="132" spans="1:30" s="4" customFormat="1" x14ac:dyDescent="0.2">
      <c r="A132" s="70" t="s">
        <v>408</v>
      </c>
      <c r="B132" s="69"/>
      <c r="C132" s="41"/>
      <c r="D132" s="41"/>
      <c r="E132" s="85"/>
      <c r="F132" s="41"/>
      <c r="G132" s="41"/>
      <c r="H132" s="63"/>
      <c r="I132" s="63"/>
      <c r="J132" s="63"/>
      <c r="K132" s="5"/>
      <c r="L132" s="5"/>
      <c r="M132" s="2"/>
      <c r="N132" s="140"/>
      <c r="O132" s="139"/>
      <c r="P132" s="139"/>
      <c r="Q132" s="147"/>
      <c r="R132" s="140"/>
      <c r="S132" s="140"/>
      <c r="T132" s="140"/>
      <c r="U132" s="140"/>
      <c r="V132" s="2"/>
      <c r="W132" s="116"/>
      <c r="X132" s="117"/>
      <c r="Y132" s="116"/>
      <c r="Z132" s="117"/>
      <c r="AA132" s="117"/>
      <c r="AB132" s="116"/>
      <c r="AC132" s="116"/>
      <c r="AD132" s="116"/>
    </row>
    <row r="133" spans="1:30" s="4" customFormat="1" x14ac:dyDescent="0.2">
      <c r="A133" s="39" t="s">
        <v>167</v>
      </c>
      <c r="B133" s="69"/>
      <c r="C133" s="41"/>
      <c r="D133" s="41"/>
      <c r="E133" s="85"/>
      <c r="F133" s="41"/>
      <c r="G133" s="41"/>
      <c r="H133" s="37"/>
      <c r="I133" s="37"/>
      <c r="J133" s="37"/>
      <c r="K133" s="5"/>
      <c r="L133" s="5"/>
      <c r="M133" s="2"/>
      <c r="N133" s="140"/>
      <c r="O133" s="139"/>
      <c r="P133" s="139"/>
      <c r="Q133" s="147"/>
      <c r="R133" s="140"/>
      <c r="S133" s="140"/>
      <c r="T133" s="140"/>
      <c r="U133" s="140"/>
      <c r="V133" s="2"/>
      <c r="W133" s="116"/>
      <c r="X133" s="117"/>
      <c r="Y133" s="116"/>
      <c r="Z133" s="117"/>
      <c r="AA133" s="117"/>
      <c r="AB133" s="116"/>
      <c r="AC133" s="116"/>
      <c r="AD133" s="116"/>
    </row>
    <row r="134" spans="1:30" s="4" customFormat="1" x14ac:dyDescent="0.2">
      <c r="A134" s="71"/>
      <c r="B134" s="20"/>
      <c r="C134" s="19"/>
      <c r="D134" s="19"/>
      <c r="E134" s="80"/>
      <c r="F134" s="19"/>
      <c r="G134" s="19"/>
      <c r="H134" s="37"/>
      <c r="I134" s="37"/>
      <c r="J134" s="37"/>
      <c r="K134" s="5"/>
      <c r="L134" s="5"/>
      <c r="M134" s="2"/>
      <c r="N134" s="140"/>
      <c r="O134" s="139"/>
      <c r="P134" s="139"/>
      <c r="Q134" s="147"/>
      <c r="R134" s="140"/>
      <c r="S134" s="140"/>
      <c r="T134" s="140"/>
      <c r="U134" s="140"/>
      <c r="V134" s="2"/>
      <c r="W134" s="116"/>
      <c r="X134" s="117"/>
      <c r="Y134" s="116"/>
      <c r="Z134" s="117"/>
      <c r="AA134" s="117"/>
      <c r="AB134" s="116"/>
      <c r="AC134" s="116"/>
      <c r="AD134" s="116"/>
    </row>
    <row r="135" spans="1:30" s="4" customFormat="1" x14ac:dyDescent="0.2">
      <c r="A135" s="70" t="s">
        <v>409</v>
      </c>
      <c r="B135" s="20"/>
      <c r="C135" s="19"/>
      <c r="D135" s="19"/>
      <c r="E135" s="80"/>
      <c r="F135" s="19"/>
      <c r="G135" s="19"/>
      <c r="H135" s="37"/>
      <c r="I135" s="37"/>
      <c r="J135" s="37"/>
      <c r="K135" s="5"/>
      <c r="L135" s="5"/>
      <c r="M135" s="2"/>
      <c r="N135" s="140"/>
      <c r="O135" s="139"/>
      <c r="P135" s="139"/>
      <c r="Q135" s="147"/>
      <c r="R135" s="140"/>
      <c r="S135" s="140"/>
      <c r="T135" s="140"/>
      <c r="U135" s="140"/>
      <c r="V135" s="2"/>
      <c r="W135" s="116"/>
      <c r="X135" s="117"/>
      <c r="Y135" s="116"/>
      <c r="Z135" s="117"/>
      <c r="AA135" s="117"/>
      <c r="AB135" s="116"/>
      <c r="AC135" s="116"/>
      <c r="AD135" s="116"/>
    </row>
    <row r="136" spans="1:30" s="4" customFormat="1" x14ac:dyDescent="0.2">
      <c r="A136" s="102" t="s">
        <v>218</v>
      </c>
      <c r="B136" s="20"/>
      <c r="C136" s="19"/>
      <c r="D136" s="19"/>
      <c r="E136" s="80"/>
      <c r="F136" s="19"/>
      <c r="G136" s="19"/>
      <c r="H136" s="37"/>
      <c r="I136" s="37"/>
      <c r="J136" s="37"/>
      <c r="K136" s="5"/>
      <c r="L136" s="5"/>
      <c r="M136" s="2"/>
      <c r="N136" s="140" t="s">
        <v>377</v>
      </c>
      <c r="O136" s="139" t="s">
        <v>357</v>
      </c>
      <c r="P136" s="139" t="s">
        <v>358</v>
      </c>
      <c r="Q136" s="147" cm="1">
        <f t="array" aca="1" ref="Q136" ca="1">IF($N136="Y",((VLOOKUP($O136,INDIRECT($N$3),Q$6,0)))*INDIRECT($N$2),(VLOOKUP($O136,INDIRECT($N$3),Q$6,0)))</f>
        <v>1.6608038211789056</v>
      </c>
      <c r="R136" s="140"/>
      <c r="S136" s="140"/>
      <c r="T136" s="140"/>
      <c r="U136" s="140"/>
      <c r="V136" s="2"/>
      <c r="W136" s="116" t="str">
        <f>O136</f>
        <v>CEQEVE</v>
      </c>
      <c r="X136" s="117"/>
      <c r="Y136" s="116" t="str">
        <f t="shared" ref="Y136:Z138" si="14">P136</f>
        <v>TL-Evening Shift Premium-CEQ</v>
      </c>
      <c r="Z136" s="123">
        <f t="shared" ca="1" si="14"/>
        <v>1.6608038211789056</v>
      </c>
      <c r="AA136" s="117"/>
      <c r="AB136" s="116"/>
      <c r="AC136" s="116"/>
      <c r="AD136" s="116"/>
    </row>
    <row r="137" spans="1:30" s="4" customFormat="1" x14ac:dyDescent="0.2">
      <c r="A137" s="102" t="str">
        <f ca="1">"schedule that includes a Saturday or Sunday shall be paid a night/weekend shift differential of "&amp;TEXT(Q137,"$0.000")&amp;" per hour for all hours worked on the qualified shift,"</f>
        <v>schedule that includes a Saturday or Sunday shall be paid a night/weekend shift differential of $1.661 per hour for all hours worked on the qualified shift,</v>
      </c>
      <c r="B137" s="20"/>
      <c r="C137" s="19"/>
      <c r="D137" s="19"/>
      <c r="E137" s="80"/>
      <c r="F137" s="19"/>
      <c r="G137" s="19"/>
      <c r="H137" s="37"/>
      <c r="I137" s="37"/>
      <c r="J137" s="37"/>
      <c r="K137" s="5"/>
      <c r="L137" s="5"/>
      <c r="M137" s="2"/>
      <c r="N137" s="140" t="s">
        <v>377</v>
      </c>
      <c r="O137" s="139" t="s">
        <v>359</v>
      </c>
      <c r="P137" s="139" t="s">
        <v>360</v>
      </c>
      <c r="Q137" s="147" cm="1">
        <f t="array" aca="1" ref="Q137" ca="1">IF($N137="Y",((VLOOKUP($O137,INDIRECT($N$3),Q$6,0)))*INDIRECT($N$2),(VLOOKUP($O137,INDIRECT($N$3),Q$6,0)))</f>
        <v>1.6608038211789056</v>
      </c>
      <c r="R137" s="140"/>
      <c r="S137" s="140"/>
      <c r="T137" s="140"/>
      <c r="U137" s="140"/>
      <c r="V137" s="2"/>
      <c r="W137" s="116" t="str">
        <f>O137</f>
        <v>CEQAM1</v>
      </c>
      <c r="X137" s="117"/>
      <c r="Y137" s="116" t="str">
        <f t="shared" si="14"/>
        <v>TL-Morning Shift Premium CEQ</v>
      </c>
      <c r="Z137" s="123">
        <f t="shared" ca="1" si="14"/>
        <v>1.6608038211789056</v>
      </c>
      <c r="AA137" s="117"/>
      <c r="AB137" s="116"/>
      <c r="AC137" s="116"/>
      <c r="AD137" s="116"/>
    </row>
    <row r="138" spans="1:30" s="4" customFormat="1" x14ac:dyDescent="0.2">
      <c r="A138" s="19" t="s">
        <v>220</v>
      </c>
      <c r="B138" s="20"/>
      <c r="C138" s="19"/>
      <c r="D138" s="19"/>
      <c r="E138" s="80"/>
      <c r="F138" s="19"/>
      <c r="G138" s="19"/>
      <c r="H138" s="37"/>
      <c r="I138" s="37"/>
      <c r="J138" s="37"/>
      <c r="K138" s="5"/>
      <c r="L138" s="5"/>
      <c r="M138" s="2"/>
      <c r="N138" s="140" t="s">
        <v>377</v>
      </c>
      <c r="O138" s="139" t="s">
        <v>361</v>
      </c>
      <c r="P138" s="139" t="s">
        <v>362</v>
      </c>
      <c r="Q138" s="147" cm="1">
        <f t="array" aca="1" ref="Q138" ca="1">IF($N138="Y",((VLOOKUP($O138,INDIRECT($N$3),Q$6,0)))*INDIRECT($N$2),(VLOOKUP($O138,INDIRECT($N$3),Q$6,0)))</f>
        <v>1.6608038211789056</v>
      </c>
      <c r="R138" s="140"/>
      <c r="S138" s="140"/>
      <c r="T138" s="140"/>
      <c r="U138" s="140"/>
      <c r="V138" s="2"/>
      <c r="W138" s="116" t="str">
        <f>O138</f>
        <v>CEQWKE</v>
      </c>
      <c r="X138" s="117"/>
      <c r="Y138" s="116" t="str">
        <f t="shared" si="14"/>
        <v>TL-Weekend Shift-CEQ</v>
      </c>
      <c r="Z138" s="123">
        <f t="shared" ca="1" si="14"/>
        <v>1.6608038211789056</v>
      </c>
      <c r="AA138" s="117"/>
      <c r="AB138" s="116"/>
      <c r="AC138" s="116"/>
      <c r="AD138" s="116"/>
    </row>
    <row r="139" spans="1:30" s="4" customFormat="1" x14ac:dyDescent="0.2">
      <c r="A139" s="19" t="s">
        <v>221</v>
      </c>
      <c r="B139" s="20"/>
      <c r="C139" s="19"/>
      <c r="D139" s="19"/>
      <c r="E139" s="80"/>
      <c r="F139" s="19"/>
      <c r="G139" s="19"/>
      <c r="H139" s="37"/>
      <c r="I139" s="37"/>
      <c r="J139" s="37"/>
      <c r="K139" s="5"/>
      <c r="L139" s="5"/>
      <c r="M139" s="2"/>
      <c r="N139" s="140"/>
      <c r="O139" s="139"/>
      <c r="P139" s="139"/>
      <c r="Q139" s="147"/>
      <c r="R139" s="140"/>
      <c r="S139" s="140"/>
      <c r="T139" s="140"/>
      <c r="U139" s="140"/>
      <c r="V139" s="2"/>
      <c r="W139" s="116"/>
      <c r="X139" s="117"/>
      <c r="Y139" s="116"/>
      <c r="Z139" s="117"/>
      <c r="AA139" s="117"/>
      <c r="AB139" s="116"/>
      <c r="AC139" s="116"/>
      <c r="AD139" s="116"/>
    </row>
    <row r="140" spans="1:30" s="4" customFormat="1" x14ac:dyDescent="0.2">
      <c r="A140" s="72"/>
      <c r="B140" s="33"/>
      <c r="C140" s="33"/>
      <c r="D140" s="33"/>
      <c r="E140" s="83"/>
      <c r="F140" s="33"/>
      <c r="G140" s="33"/>
      <c r="H140" s="33"/>
      <c r="I140" s="33"/>
      <c r="J140" s="33"/>
      <c r="K140" s="5"/>
      <c r="L140" s="5"/>
      <c r="M140" s="2"/>
      <c r="N140" s="140"/>
      <c r="O140" s="139"/>
      <c r="P140" s="139"/>
      <c r="Q140" s="147"/>
      <c r="R140" s="140"/>
      <c r="S140" s="140"/>
      <c r="T140" s="140"/>
      <c r="U140" s="140"/>
      <c r="V140" s="2"/>
      <c r="W140" s="116"/>
      <c r="X140" s="117"/>
      <c r="Y140" s="116"/>
      <c r="Z140" s="117"/>
      <c r="AA140" s="117"/>
      <c r="AB140" s="116"/>
      <c r="AC140" s="116"/>
      <c r="AD140" s="116"/>
    </row>
    <row r="141" spans="1:30" x14ac:dyDescent="0.2">
      <c r="A141" s="70" t="s">
        <v>410</v>
      </c>
      <c r="B141" s="33"/>
      <c r="C141" s="33"/>
      <c r="D141" s="33"/>
      <c r="E141" s="83"/>
      <c r="F141" s="33"/>
      <c r="G141" s="33"/>
      <c r="H141" s="33"/>
      <c r="I141" s="33"/>
      <c r="J141" s="33"/>
      <c r="Q141" s="147"/>
    </row>
    <row r="142" spans="1:30" s="33" customFormat="1" x14ac:dyDescent="0.2">
      <c r="A142" s="57" t="s">
        <v>217</v>
      </c>
      <c r="E142" s="83"/>
      <c r="K142" s="34"/>
      <c r="L142" s="34"/>
      <c r="N142" s="140"/>
      <c r="O142" s="151"/>
      <c r="P142" s="151"/>
      <c r="Q142" s="147"/>
      <c r="R142" s="140"/>
      <c r="S142" s="140"/>
      <c r="T142" s="140"/>
      <c r="U142" s="140"/>
      <c r="W142" s="125"/>
      <c r="X142" s="117"/>
      <c r="Y142" s="125"/>
      <c r="Z142" s="117"/>
      <c r="AA142" s="117"/>
      <c r="AB142" s="125"/>
      <c r="AC142" s="125"/>
      <c r="AD142" s="125"/>
    </row>
    <row r="143" spans="1:30" s="33" customFormat="1" x14ac:dyDescent="0.2">
      <c r="A143" s="39" t="s">
        <v>173</v>
      </c>
      <c r="B143" s="72"/>
      <c r="C143" s="72"/>
      <c r="D143" s="72"/>
      <c r="E143" s="87"/>
      <c r="F143" s="73"/>
      <c r="G143" s="73"/>
      <c r="H143" s="37"/>
      <c r="I143" s="37"/>
      <c r="J143" s="55"/>
      <c r="K143" s="45"/>
      <c r="L143" s="34"/>
      <c r="N143" s="140"/>
      <c r="O143" s="151" t="s">
        <v>171</v>
      </c>
      <c r="P143" s="151"/>
      <c r="Q143" s="147"/>
      <c r="R143" s="140"/>
      <c r="S143" s="140"/>
      <c r="T143" s="140"/>
      <c r="U143" s="140"/>
      <c r="W143" s="155" t="s">
        <v>171</v>
      </c>
      <c r="X143" s="117"/>
      <c r="Y143" s="125"/>
      <c r="Z143" s="117"/>
      <c r="AA143" s="117"/>
      <c r="AB143" s="125"/>
      <c r="AC143" s="125"/>
      <c r="AD143" s="125"/>
    </row>
    <row r="144" spans="1:30" x14ac:dyDescent="0.2">
      <c r="A144" s="110">
        <f ca="1">Q144</f>
        <v>0.28555774091796865</v>
      </c>
      <c r="B144" s="57" t="s">
        <v>174</v>
      </c>
      <c r="C144" s="72"/>
      <c r="D144" s="72"/>
      <c r="E144" s="87"/>
      <c r="F144" s="73"/>
      <c r="G144" s="73"/>
      <c r="H144" s="37"/>
      <c r="I144" s="37"/>
      <c r="J144" s="55"/>
      <c r="N144" s="140" t="s">
        <v>377</v>
      </c>
      <c r="O144" s="139" t="s">
        <v>371</v>
      </c>
      <c r="Q144" s="147" cm="1">
        <f t="array" aca="1" ref="Q144" ca="1">IF($N144="Y",((VLOOKUP($O144,INDIRECT($N$3),Q$6,0)))*INDIRECT($N$2),(VLOOKUP($O144,INDIRECT($N$3),Q$6,0)))</f>
        <v>0.28555774091796865</v>
      </c>
      <c r="W144" s="116" t="str">
        <f>O144</f>
        <v>10th</v>
      </c>
      <c r="Z144" s="123">
        <f ca="1">Q144</f>
        <v>0.28555774091796865</v>
      </c>
    </row>
    <row r="145" spans="1:30" s="5" customFormat="1" x14ac:dyDescent="0.2">
      <c r="A145" s="110">
        <f ca="1">Q145</f>
        <v>0.48087923570585916</v>
      </c>
      <c r="B145" s="57" t="s">
        <v>175</v>
      </c>
      <c r="C145" s="72"/>
      <c r="D145" s="72"/>
      <c r="E145" s="87"/>
      <c r="F145" s="73"/>
      <c r="G145" s="73"/>
      <c r="H145" s="37"/>
      <c r="I145" s="37"/>
      <c r="J145" s="55"/>
      <c r="K145" s="50"/>
      <c r="M145" s="2"/>
      <c r="N145" s="140" t="s">
        <v>377</v>
      </c>
      <c r="O145" s="139" t="s">
        <v>372</v>
      </c>
      <c r="P145" s="139"/>
      <c r="Q145" s="147" cm="1">
        <f t="array" aca="1" ref="Q145" ca="1">IF($N145="Y",((VLOOKUP($O145,INDIRECT($N$3),Q$6,0)))*INDIRECT($N$2),(VLOOKUP($O145,INDIRECT($N$3),Q$6,0)))</f>
        <v>0.48087923570585916</v>
      </c>
      <c r="R145" s="140"/>
      <c r="S145" s="140"/>
      <c r="T145" s="140"/>
      <c r="U145" s="140"/>
      <c r="V145" s="2"/>
      <c r="W145" s="116" t="str">
        <f>O145</f>
        <v>15th</v>
      </c>
      <c r="X145" s="117"/>
      <c r="Y145" s="116"/>
      <c r="Z145" s="123">
        <f ca="1">Q145</f>
        <v>0.48087923570585916</v>
      </c>
      <c r="AA145" s="117"/>
      <c r="AB145" s="116"/>
      <c r="AC145" s="136"/>
      <c r="AD145" s="136"/>
    </row>
    <row r="146" spans="1:30" s="5" customFormat="1" x14ac:dyDescent="0.2">
      <c r="A146" s="110">
        <f ca="1">Q146</f>
        <v>0.56883101990859364</v>
      </c>
      <c r="B146" s="57" t="s">
        <v>176</v>
      </c>
      <c r="C146" s="72"/>
      <c r="D146" s="72"/>
      <c r="E146" s="87"/>
      <c r="F146" s="73"/>
      <c r="G146" s="73"/>
      <c r="H146" s="37"/>
      <c r="I146" s="37"/>
      <c r="J146" s="55"/>
      <c r="K146" s="50"/>
      <c r="M146" s="2"/>
      <c r="N146" s="140" t="s">
        <v>377</v>
      </c>
      <c r="O146" s="139" t="s">
        <v>373</v>
      </c>
      <c r="P146" s="139"/>
      <c r="Q146" s="147" cm="1">
        <f t="array" aca="1" ref="Q146" ca="1">IF($N146="Y",((VLOOKUP($O146,INDIRECT($N$3),Q$6,0)))*INDIRECT($N$2),(VLOOKUP($O146,INDIRECT($N$3),Q$6,0)))</f>
        <v>0.56883101990859364</v>
      </c>
      <c r="R146" s="140"/>
      <c r="S146" s="140"/>
      <c r="T146" s="140"/>
      <c r="U146" s="140"/>
      <c r="V146" s="2"/>
      <c r="W146" s="116" t="str">
        <f>O146</f>
        <v>20th</v>
      </c>
      <c r="X146" s="117"/>
      <c r="Y146" s="116"/>
      <c r="Z146" s="123">
        <f ca="1">Q146</f>
        <v>0.56883101990859364</v>
      </c>
      <c r="AA146" s="117"/>
      <c r="AB146" s="116"/>
      <c r="AC146" s="136"/>
      <c r="AD146" s="136"/>
    </row>
    <row r="147" spans="1:30" s="5" customFormat="1" x14ac:dyDescent="0.2">
      <c r="A147" s="110">
        <f ca="1">Q147</f>
        <v>0.81783736998906209</v>
      </c>
      <c r="B147" s="57" t="s">
        <v>177</v>
      </c>
      <c r="C147" s="72"/>
      <c r="D147" s="72"/>
      <c r="E147" s="87"/>
      <c r="F147" s="73"/>
      <c r="G147" s="73"/>
      <c r="H147" s="37"/>
      <c r="I147" s="37"/>
      <c r="J147" s="55"/>
      <c r="K147" s="50"/>
      <c r="M147" s="2"/>
      <c r="N147" s="140" t="s">
        <v>377</v>
      </c>
      <c r="O147" s="139" t="s">
        <v>374</v>
      </c>
      <c r="P147" s="139"/>
      <c r="Q147" s="147" cm="1">
        <f t="array" aca="1" ref="Q147" ca="1">IF($N147="Y",((VLOOKUP($O147,INDIRECT($N$3),Q$6,0)))*INDIRECT($N$2),(VLOOKUP($O147,INDIRECT($N$3),Q$6,0)))</f>
        <v>0.81783736998906209</v>
      </c>
      <c r="R147" s="140"/>
      <c r="S147" s="140"/>
      <c r="T147" s="140"/>
      <c r="U147" s="140"/>
      <c r="V147" s="2"/>
      <c r="W147" s="116" t="str">
        <f>O147</f>
        <v>25th</v>
      </c>
      <c r="X147" s="117"/>
      <c r="Y147" s="116"/>
      <c r="Z147" s="123">
        <f ca="1">Q147</f>
        <v>0.81783736998906209</v>
      </c>
      <c r="AA147" s="117"/>
      <c r="AB147" s="116"/>
      <c r="AC147" s="136"/>
      <c r="AD147" s="136"/>
    </row>
    <row r="148" spans="1:30" s="5" customFormat="1" x14ac:dyDescent="0.2">
      <c r="A148" s="53"/>
      <c r="B148" s="57"/>
      <c r="C148" s="72"/>
      <c r="D148" s="72"/>
      <c r="E148" s="87"/>
      <c r="F148" s="73"/>
      <c r="G148" s="73"/>
      <c r="H148" s="37"/>
      <c r="I148" s="37"/>
      <c r="J148" s="55"/>
      <c r="K148" s="50"/>
      <c r="M148" s="2"/>
      <c r="N148" s="140"/>
      <c r="O148" s="139"/>
      <c r="P148" s="139"/>
      <c r="Q148" s="147"/>
      <c r="R148" s="140"/>
      <c r="S148" s="140"/>
      <c r="T148" s="140"/>
      <c r="U148" s="140"/>
      <c r="V148" s="2"/>
      <c r="W148" s="116"/>
      <c r="X148" s="117"/>
      <c r="Y148" s="116"/>
      <c r="Z148" s="117"/>
      <c r="AA148" s="117"/>
      <c r="AB148" s="116"/>
      <c r="AC148" s="136"/>
      <c r="AD148" s="136"/>
    </row>
    <row r="149" spans="1:30" s="5" customFormat="1" x14ac:dyDescent="0.2">
      <c r="A149" s="70" t="s">
        <v>411</v>
      </c>
      <c r="B149" s="2"/>
      <c r="C149" s="2"/>
      <c r="D149" s="2"/>
      <c r="E149" s="77"/>
      <c r="F149" s="2"/>
      <c r="G149" s="2"/>
      <c r="H149" s="2"/>
      <c r="I149" s="2"/>
      <c r="J149" s="2"/>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4" t="s">
        <v>179</v>
      </c>
      <c r="B150" s="2"/>
      <c r="C150" s="2"/>
      <c r="D150" s="2"/>
      <c r="E150" s="77"/>
      <c r="F150" s="2"/>
      <c r="G150" s="2"/>
      <c r="H150" s="2"/>
      <c r="I150" s="2"/>
      <c r="J150" s="2"/>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tr">
        <f ca="1">"a training premium of "&amp;TEXT(Q151,"$0.000")&amp;" per hour for all hours shall be paid."</f>
        <v>a training premium of $3.644 per hour for all hours shall be paid.</v>
      </c>
      <c r="B151" s="2"/>
      <c r="C151" s="2"/>
      <c r="D151" s="2"/>
      <c r="E151" s="77"/>
      <c r="F151" s="2"/>
      <c r="G151" s="2"/>
      <c r="H151" s="2"/>
      <c r="I151" s="2"/>
      <c r="J151" s="2"/>
      <c r="M151" s="2"/>
      <c r="N151" s="140" t="s">
        <v>377</v>
      </c>
      <c r="O151" s="139" t="s">
        <v>363</v>
      </c>
      <c r="P151" s="139" t="s">
        <v>364</v>
      </c>
      <c r="Q151" s="147" cm="1">
        <f t="array" aca="1" ref="Q151" ca="1">IF($N151="Y",((VLOOKUP($O151,INDIRECT($N$3),Q$6,0)))*INDIRECT($N$2),(VLOOKUP($O151,INDIRECT($N$3),Q$6,0)))</f>
        <v>3.6437167741132797</v>
      </c>
      <c r="R151" s="140"/>
      <c r="S151" s="140"/>
      <c r="T151" s="140"/>
      <c r="U151" s="140"/>
      <c r="V151" s="2"/>
      <c r="W151" s="116" t="str">
        <f>O151</f>
        <v>CEQTPP</v>
      </c>
      <c r="X151" s="117"/>
      <c r="Y151" s="116" t="str">
        <f>P151</f>
        <v>TL-Training Premium Pay-CEQ</v>
      </c>
      <c r="Z151" s="123">
        <f ca="1">Q151</f>
        <v>3.6437167741132797</v>
      </c>
      <c r="AA151" s="117"/>
      <c r="AB151" s="116"/>
      <c r="AC151" s="136"/>
      <c r="AD151" s="136"/>
    </row>
    <row r="152" spans="1:30" s="5" customFormat="1" x14ac:dyDescent="0.2">
      <c r="A152" s="74"/>
      <c r="B152" s="2"/>
      <c r="C152" s="2"/>
      <c r="D152" s="2"/>
      <c r="E152" s="77"/>
      <c r="F152" s="2"/>
      <c r="G152" s="2"/>
      <c r="H152" s="2"/>
      <c r="I152" s="2"/>
      <c r="J152" s="2"/>
      <c r="M152" s="2"/>
      <c r="N152" s="140"/>
      <c r="O152" s="139"/>
      <c r="P152" s="139"/>
      <c r="Q152" s="147"/>
      <c r="R152" s="140"/>
      <c r="S152" s="140"/>
      <c r="T152" s="140"/>
      <c r="U152" s="140"/>
      <c r="V152" s="2"/>
      <c r="W152" s="116"/>
      <c r="X152" s="117"/>
      <c r="Y152" s="116"/>
      <c r="Z152" s="117"/>
      <c r="AA152" s="117"/>
      <c r="AB152" s="116"/>
      <c r="AC152" s="136"/>
      <c r="AD152" s="136"/>
    </row>
    <row r="153" spans="1:30" x14ac:dyDescent="0.2">
      <c r="A153" s="70" t="s">
        <v>412</v>
      </c>
    </row>
    <row r="154" spans="1:30" x14ac:dyDescent="0.2">
      <c r="N154" s="140" t="s">
        <v>11</v>
      </c>
      <c r="O154" s="139" t="s">
        <v>461</v>
      </c>
      <c r="P154" s="139" t="s">
        <v>463</v>
      </c>
      <c r="Q154" s="147">
        <v>45</v>
      </c>
      <c r="W154" s="116" t="s">
        <v>461</v>
      </c>
      <c r="Y154" s="116" t="s">
        <v>463</v>
      </c>
      <c r="Z154" s="123">
        <f>Q154</f>
        <v>45</v>
      </c>
    </row>
    <row r="155" spans="1:30" x14ac:dyDescent="0.2">
      <c r="N155" s="140" t="s">
        <v>11</v>
      </c>
      <c r="O155" s="139" t="s">
        <v>462</v>
      </c>
      <c r="P155" s="139" t="s">
        <v>464</v>
      </c>
      <c r="Q155" s="147">
        <v>35</v>
      </c>
      <c r="W155" s="116" t="s">
        <v>462</v>
      </c>
      <c r="Y155" s="116" t="s">
        <v>464</v>
      </c>
      <c r="Z155" s="123">
        <f>Q155</f>
        <v>35</v>
      </c>
    </row>
    <row r="157" spans="1:30" x14ac:dyDescent="0.2">
      <c r="B157" s="2" t="s">
        <v>453</v>
      </c>
      <c r="E157" s="2"/>
      <c r="F157" s="77"/>
      <c r="H157" s="2" t="s">
        <v>454</v>
      </c>
    </row>
    <row r="158" spans="1:30" x14ac:dyDescent="0.2">
      <c r="N158" s="140" t="s">
        <v>11</v>
      </c>
      <c r="O158" s="139" t="s">
        <v>465</v>
      </c>
      <c r="P158" s="139" t="s">
        <v>466</v>
      </c>
      <c r="Q158" s="147">
        <v>5</v>
      </c>
      <c r="R158" s="252" t="s">
        <v>467</v>
      </c>
      <c r="W158" s="116" t="str">
        <f>O158</f>
        <v>CEQCRP</v>
      </c>
      <c r="Y158" s="116" t="str">
        <f>P158</f>
        <v>Critical Response T&amp;L</v>
      </c>
      <c r="Z158" s="123">
        <f>Q158</f>
        <v>5</v>
      </c>
    </row>
  </sheetData>
  <sheetProtection sheet="1" objects="1" scenarios="1"/>
  <pageMargins left="0.25" right="0.25" top="0.75" bottom="0.75" header="0.3" footer="0.3"/>
  <pageSetup scale="37" fitToHeight="0"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2BD8-D4CA-44CC-8B5C-71C1A2348B0D}">
  <sheetPr codeName="Sheet14">
    <pageSetUpPr fitToPage="1"/>
  </sheetPr>
  <dimension ref="A1:AI158"/>
  <sheetViews>
    <sheetView showGridLines="0" tabSelected="1" topLeftCell="A2" zoomScaleNormal="100" workbookViewId="0">
      <selection activeCell="A2" sqref="A2"/>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28515625" style="2" customWidth="1"/>
    <col min="11" max="11" width="13.28515625" style="5" customWidth="1"/>
    <col min="12" max="12" width="9.7109375" style="5" bestFit="1" customWidth="1"/>
    <col min="13" max="13" width="7.7109375" style="2" hidden="1" customWidth="1"/>
    <col min="14" max="14" width="11.5703125" style="140" hidden="1" customWidth="1"/>
    <col min="15" max="15" width="8.7109375" style="139" hidden="1" customWidth="1"/>
    <col min="16" max="16" width="35.28515625" style="139" hidden="1" customWidth="1"/>
    <col min="17" max="17" width="7.42578125" style="140" hidden="1" customWidth="1"/>
    <col min="18" max="18" width="21.140625" style="140" hidden="1" customWidth="1"/>
    <col min="19" max="21" width="7.42578125" style="140" hidden="1" customWidth="1"/>
    <col min="22" max="22" width="0" style="2" hidden="1" customWidth="1"/>
    <col min="23" max="23" width="9.140625" style="116" hidden="1" customWidth="1"/>
    <col min="24" max="24" width="22.28515625" style="117" hidden="1" customWidth="1"/>
    <col min="25" max="25" width="35.28515625" style="116" hidden="1" customWidth="1"/>
    <col min="26" max="27" width="7.42578125" style="117" hidden="1" customWidth="1"/>
    <col min="28" max="30" width="7.42578125" style="116" hidden="1" customWidth="1"/>
    <col min="31" max="16384" width="9.140625" style="2"/>
  </cols>
  <sheetData>
    <row r="1" spans="1:30" x14ac:dyDescent="0.2">
      <c r="A1" s="2" t="s">
        <v>452</v>
      </c>
    </row>
    <row r="2" spans="1:30" x14ac:dyDescent="0.2">
      <c r="A2" s="1" t="s">
        <v>0</v>
      </c>
      <c r="D2" s="3"/>
      <c r="I2" s="4"/>
      <c r="J2" s="4"/>
      <c r="N2" s="137" t="s">
        <v>421</v>
      </c>
      <c r="O2" s="138">
        <v>1.0249999999999999</v>
      </c>
    </row>
    <row r="3" spans="1:30" x14ac:dyDescent="0.2">
      <c r="A3" s="2" t="s">
        <v>420</v>
      </c>
      <c r="D3" s="3"/>
      <c r="I3" s="4"/>
      <c r="J3" s="4"/>
      <c r="K3" s="6"/>
      <c r="N3" s="140" t="s">
        <v>422</v>
      </c>
    </row>
    <row r="4" spans="1:30" x14ac:dyDescent="0.2">
      <c r="A4" s="134" t="s">
        <v>394</v>
      </c>
      <c r="D4" s="3"/>
      <c r="I4" s="4"/>
      <c r="J4" s="4"/>
      <c r="K4" s="6"/>
    </row>
    <row r="5" spans="1:30" x14ac:dyDescent="0.2">
      <c r="A5" s="2" t="str">
        <f>'7-1-2024'!A5</f>
        <v>Last Update: July 27, 2026</v>
      </c>
      <c r="D5" s="3"/>
      <c r="I5" s="4"/>
      <c r="J5" s="4"/>
      <c r="K5" s="6"/>
    </row>
    <row r="6" spans="1:30" x14ac:dyDescent="0.2">
      <c r="A6" s="1"/>
      <c r="D6" s="3"/>
      <c r="I6" s="4"/>
      <c r="J6" s="4"/>
      <c r="Q6" s="140">
        <v>3</v>
      </c>
      <c r="R6" s="140">
        <f>Q6+1</f>
        <v>4</v>
      </c>
      <c r="S6" s="140">
        <f>R6+1</f>
        <v>5</v>
      </c>
      <c r="T6" s="140">
        <f>S6+1</f>
        <v>6</v>
      </c>
      <c r="U6" s="140">
        <f>T6+1</f>
        <v>7</v>
      </c>
    </row>
    <row r="7" spans="1:30"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4" t="s">
        <v>12</v>
      </c>
      <c r="B8" s="4" t="s">
        <v>184</v>
      </c>
      <c r="C8" s="4">
        <v>21</v>
      </c>
      <c r="D8" s="14" t="s">
        <v>13</v>
      </c>
      <c r="E8" s="4">
        <v>303</v>
      </c>
      <c r="F8" s="4">
        <v>6</v>
      </c>
      <c r="G8" s="4" t="s">
        <v>14</v>
      </c>
      <c r="H8" s="15">
        <f ca="1">Q8</f>
        <v>40.226186048008671</v>
      </c>
      <c r="I8" s="15">
        <f t="shared" ref="I8:K14" ca="1" si="0">R8</f>
        <v>41.432971629448929</v>
      </c>
      <c r="J8" s="15">
        <f t="shared" ca="1" si="0"/>
        <v>42.675960778332396</v>
      </c>
      <c r="K8" s="15">
        <f t="shared" ca="1" si="0"/>
        <v>43.95623960168237</v>
      </c>
      <c r="L8" s="93"/>
      <c r="M8" s="93"/>
      <c r="N8" s="146" t="s">
        <v>377</v>
      </c>
      <c r="O8" s="146" t="str">
        <f>A8</f>
        <v>01180C</v>
      </c>
      <c r="P8" s="200" t="str">
        <f>D8</f>
        <v>Automotive Mechanic</v>
      </c>
      <c r="Q8" s="147" cm="1">
        <f t="array" aca="1" ref="Q8" ca="1">IF($N8="Y",((VLOOKUP($O8,INDIRECT($N$3),Q$6,0)))*INDIRECT($N$2),(VLOOKUP($O8,INDIRECT($N$3),Q$6,0)))</f>
        <v>40.226186048008671</v>
      </c>
      <c r="R8" s="147" cm="1">
        <f t="array" aca="1" ref="R8" ca="1">IF($N8="Y",((VLOOKUP($O8,INDIRECT($N$3),R$6,0)))*INDIRECT($N$2),(VLOOKUP($O8,INDIRECT($N$3),R$6,0)))</f>
        <v>41.432971629448929</v>
      </c>
      <c r="S8" s="147" cm="1">
        <f t="array" aca="1" ref="S8" ca="1">IF($N8="Y",((VLOOKUP($O8,INDIRECT($N$3),S$6,0)))*INDIRECT($N$2),(VLOOKUP($O8,INDIRECT($N$3),S$6,0)))</f>
        <v>42.675960778332396</v>
      </c>
      <c r="T8" s="147" cm="1">
        <f t="array" aca="1" ref="T8" ca="1">IF($N8="Y",((VLOOKUP($O8,INDIRECT($N$3),T$6,0)))*INDIRECT($N$2),(VLOOKUP($O8,INDIRECT($N$3),T$6,0)))</f>
        <v>43.95623960168237</v>
      </c>
      <c r="W8" s="116" t="str">
        <f t="shared" ref="W8:W14" si="1">O8</f>
        <v>01180C</v>
      </c>
      <c r="X8" s="117">
        <f t="shared" ref="X8:Y14" si="2">C8</f>
        <v>21</v>
      </c>
      <c r="Y8" s="116" t="str">
        <f t="shared" si="2"/>
        <v>Automotive Mechanic</v>
      </c>
      <c r="Z8" s="123">
        <f ca="1">ROUND(Q8,3)</f>
        <v>40.225999999999999</v>
      </c>
      <c r="AA8" s="123">
        <f t="shared" ref="AA8:AC8" ca="1" si="3">ROUND(R8,3)</f>
        <v>41.433</v>
      </c>
      <c r="AB8" s="123">
        <f t="shared" ca="1" si="3"/>
        <v>42.676000000000002</v>
      </c>
      <c r="AC8" s="123">
        <f t="shared" ca="1" si="3"/>
        <v>43.956000000000003</v>
      </c>
    </row>
    <row r="9" spans="1:30" x14ac:dyDescent="0.2">
      <c r="A9" s="4" t="s">
        <v>249</v>
      </c>
      <c r="B9" s="4" t="s">
        <v>184</v>
      </c>
      <c r="C9" s="75" t="s">
        <v>194</v>
      </c>
      <c r="D9" s="3" t="s">
        <v>248</v>
      </c>
      <c r="E9" s="4">
        <v>328</v>
      </c>
      <c r="F9" s="4">
        <v>7</v>
      </c>
      <c r="G9" s="4" t="s">
        <v>14</v>
      </c>
      <c r="H9" s="15">
        <f t="shared" ref="H9:H14" ca="1" si="4">Q9</f>
        <v>44.74344677753902</v>
      </c>
      <c r="I9" s="15">
        <f t="shared" ca="1" si="0"/>
        <v>46.085750180865183</v>
      </c>
      <c r="J9" s="15">
        <f t="shared" ca="1" si="0"/>
        <v>47.468322686291145</v>
      </c>
      <c r="K9" s="15">
        <f t="shared" ca="1" si="0"/>
        <v>48.892372366879876</v>
      </c>
      <c r="L9" s="93"/>
      <c r="M9" s="93"/>
      <c r="N9" s="146" t="s">
        <v>377</v>
      </c>
      <c r="O9" s="146" t="str">
        <f t="shared" ref="O9:O14" si="5">A9</f>
        <v xml:space="preserve">52930C </v>
      </c>
      <c r="P9" s="139" t="str">
        <f t="shared" ref="P9:P14" si="6">D9</f>
        <v>Fleet Equipment Repair Coordinator</v>
      </c>
      <c r="Q9" s="147" cm="1">
        <f t="array" aca="1" ref="Q9" ca="1">IF($N9="Y",((VLOOKUP($O9,INDIRECT($N$3),Q$6,0)))*INDIRECT($N$2),(VLOOKUP($O9,INDIRECT($N$3),Q$6,0)))</f>
        <v>44.74344677753902</v>
      </c>
      <c r="R9" s="147" cm="1">
        <f t="array" aca="1" ref="R9" ca="1">IF($N9="Y",((VLOOKUP($O9,INDIRECT($N$3),R$6,0)))*INDIRECT($N$2),(VLOOKUP($O9,INDIRECT($N$3),R$6,0)))</f>
        <v>46.085750180865183</v>
      </c>
      <c r="S9" s="147" cm="1">
        <f t="array" aca="1" ref="S9" ca="1">IF($N9="Y",((VLOOKUP($O9,INDIRECT($N$3),S$6,0)))*INDIRECT($N$2),(VLOOKUP($O9,INDIRECT($N$3),S$6,0)))</f>
        <v>47.468322686291145</v>
      </c>
      <c r="T9" s="147" cm="1">
        <f t="array" aca="1" ref="T9" ca="1">IF($N9="Y",((VLOOKUP($O9,INDIRECT($N$3),T$6,0)))*INDIRECT($N$2),(VLOOKUP($O9,INDIRECT($N$3),T$6,0)))</f>
        <v>48.892372366879876</v>
      </c>
      <c r="W9" s="116" t="str">
        <f t="shared" si="1"/>
        <v xml:space="preserve">52930C </v>
      </c>
      <c r="X9" s="117" t="str">
        <f t="shared" si="2"/>
        <v>12</v>
      </c>
      <c r="Y9" s="116" t="str">
        <f t="shared" si="2"/>
        <v>Fleet Equipment Repair Coordinator</v>
      </c>
      <c r="Z9" s="123">
        <f t="shared" ref="Z9:Z14" ca="1" si="7">ROUND(Q9,3)</f>
        <v>44.743000000000002</v>
      </c>
      <c r="AA9" s="123">
        <f t="shared" ref="AA9:AA14" ca="1" si="8">ROUND(R9,3)</f>
        <v>46.085999999999999</v>
      </c>
      <c r="AB9" s="123">
        <f t="shared" ref="AB9:AB14" ca="1" si="9">ROUND(S9,3)</f>
        <v>47.468000000000004</v>
      </c>
      <c r="AC9" s="123">
        <f t="shared" ref="AC9:AC14" ca="1" si="10">ROUND(T9,3)</f>
        <v>48.892000000000003</v>
      </c>
    </row>
    <row r="10" spans="1:30" x14ac:dyDescent="0.2">
      <c r="A10" s="4" t="s">
        <v>17</v>
      </c>
      <c r="B10" s="4" t="s">
        <v>184</v>
      </c>
      <c r="C10" s="75" t="s">
        <v>194</v>
      </c>
      <c r="D10" s="3" t="s">
        <v>18</v>
      </c>
      <c r="E10" s="4">
        <v>335</v>
      </c>
      <c r="F10" s="4">
        <v>7</v>
      </c>
      <c r="G10" s="4" t="s">
        <v>14</v>
      </c>
      <c r="H10" s="15">
        <f t="shared" ca="1" si="4"/>
        <v>44.74344677753902</v>
      </c>
      <c r="I10" s="15">
        <f t="shared" ca="1" si="0"/>
        <v>46.085750180865183</v>
      </c>
      <c r="J10" s="15">
        <f t="shared" ca="1" si="0"/>
        <v>47.468322686291145</v>
      </c>
      <c r="K10" s="15">
        <f t="shared" ca="1" si="0"/>
        <v>48.892372366879876</v>
      </c>
      <c r="L10" s="93"/>
      <c r="M10" s="93"/>
      <c r="N10" s="146" t="s">
        <v>377</v>
      </c>
      <c r="O10" s="146" t="str">
        <f t="shared" si="5"/>
        <v>04520C</v>
      </c>
      <c r="P10" s="139" t="str">
        <f t="shared" si="6"/>
        <v>Foreman Auto Mechanic</v>
      </c>
      <c r="Q10" s="147" cm="1">
        <f t="array" aca="1" ref="Q10" ca="1">IF($N10="Y",((VLOOKUP($O10,INDIRECT($N$3),Q$6,0)))*INDIRECT($N$2),(VLOOKUP($O10,INDIRECT($N$3),Q$6,0)))</f>
        <v>44.74344677753902</v>
      </c>
      <c r="R10" s="147" cm="1">
        <f t="array" aca="1" ref="R10" ca="1">IF($N10="Y",((VLOOKUP($O10,INDIRECT($N$3),R$6,0)))*INDIRECT($N$2),(VLOOKUP($O10,INDIRECT($N$3),R$6,0)))</f>
        <v>46.085750180865183</v>
      </c>
      <c r="S10" s="147" cm="1">
        <f t="array" aca="1" ref="S10" ca="1">IF($N10="Y",((VLOOKUP($O10,INDIRECT($N$3),S$6,0)))*INDIRECT($N$2),(VLOOKUP($O10,INDIRECT($N$3),S$6,0)))</f>
        <v>47.468322686291145</v>
      </c>
      <c r="T10" s="147" cm="1">
        <f t="array" aca="1" ref="T10" ca="1">IF($N10="Y",((VLOOKUP($O10,INDIRECT($N$3),T$6,0)))*INDIRECT($N$2),(VLOOKUP($O10,INDIRECT($N$3),T$6,0)))</f>
        <v>48.892372366879876</v>
      </c>
      <c r="W10" s="116" t="str">
        <f t="shared" si="1"/>
        <v>04520C</v>
      </c>
      <c r="X10" s="117" t="str">
        <f t="shared" si="2"/>
        <v>12</v>
      </c>
      <c r="Y10" s="116" t="str">
        <f t="shared" si="2"/>
        <v>Foreman Auto Mechanic</v>
      </c>
      <c r="Z10" s="123">
        <f t="shared" ca="1" si="7"/>
        <v>44.743000000000002</v>
      </c>
      <c r="AA10" s="123">
        <f t="shared" ca="1" si="8"/>
        <v>46.085999999999999</v>
      </c>
      <c r="AB10" s="123">
        <f t="shared" ca="1" si="9"/>
        <v>47.468000000000004</v>
      </c>
      <c r="AC10" s="123">
        <f t="shared" ca="1" si="10"/>
        <v>48.892000000000003</v>
      </c>
    </row>
    <row r="11" spans="1:30" x14ac:dyDescent="0.2">
      <c r="A11" s="4" t="s">
        <v>21</v>
      </c>
      <c r="B11" s="4" t="s">
        <v>184</v>
      </c>
      <c r="C11" s="75" t="s">
        <v>193</v>
      </c>
      <c r="D11" s="14" t="s">
        <v>22</v>
      </c>
      <c r="E11" s="4">
        <v>295</v>
      </c>
      <c r="F11" s="4">
        <v>6</v>
      </c>
      <c r="G11" s="4" t="s">
        <v>14</v>
      </c>
      <c r="H11" s="15">
        <f t="shared" ca="1" si="4"/>
        <v>39.877833026232985</v>
      </c>
      <c r="I11" s="15">
        <f t="shared" ca="1" si="0"/>
        <v>41.074168017019971</v>
      </c>
      <c r="J11" s="15">
        <f t="shared" ca="1" si="0"/>
        <v>42.30639305753057</v>
      </c>
      <c r="K11" s="15">
        <f t="shared" ca="1" si="0"/>
        <v>43.575584849256487</v>
      </c>
      <c r="L11" s="93"/>
      <c r="M11" s="93"/>
      <c r="N11" s="146" t="s">
        <v>377</v>
      </c>
      <c r="O11" s="146" t="str">
        <f t="shared" si="5"/>
        <v>07115C</v>
      </c>
      <c r="P11" s="139" t="str">
        <f t="shared" si="6"/>
        <v>Metal Fabrication &amp; Welding Specialist</v>
      </c>
      <c r="Q11" s="147" cm="1">
        <f t="array" aca="1" ref="Q11" ca="1">IF($N11="Y",((VLOOKUP($O11,INDIRECT($N$3),Q$6,0)))*INDIRECT($N$2),(VLOOKUP($O11,INDIRECT($N$3),Q$6,0)))</f>
        <v>39.877833026232985</v>
      </c>
      <c r="R11" s="147" cm="1">
        <f t="array" aca="1" ref="R11" ca="1">IF($N11="Y",((VLOOKUP($O11,INDIRECT($N$3),R$6,0)))*INDIRECT($N$2),(VLOOKUP($O11,INDIRECT($N$3),R$6,0)))</f>
        <v>41.074168017019971</v>
      </c>
      <c r="S11" s="147" cm="1">
        <f t="array" aca="1" ref="S11" ca="1">IF($N11="Y",((VLOOKUP($O11,INDIRECT($N$3),S$6,0)))*INDIRECT($N$2),(VLOOKUP($O11,INDIRECT($N$3),S$6,0)))</f>
        <v>42.30639305753057</v>
      </c>
      <c r="T11" s="147" cm="1">
        <f t="array" aca="1" ref="T11" ca="1">IF($N11="Y",((VLOOKUP($O11,INDIRECT($N$3),T$6,0)))*INDIRECT($N$2),(VLOOKUP($O11,INDIRECT($N$3),T$6,0)))</f>
        <v>43.575584849256487</v>
      </c>
      <c r="W11" s="116" t="str">
        <f t="shared" si="1"/>
        <v>07115C</v>
      </c>
      <c r="X11" s="117" t="str">
        <f t="shared" si="2"/>
        <v>07</v>
      </c>
      <c r="Y11" s="116" t="str">
        <f t="shared" si="2"/>
        <v>Metal Fabrication &amp; Welding Specialist</v>
      </c>
      <c r="Z11" s="123">
        <f t="shared" ca="1" si="7"/>
        <v>39.878</v>
      </c>
      <c r="AA11" s="123">
        <f t="shared" ca="1" si="8"/>
        <v>41.073999999999998</v>
      </c>
      <c r="AB11" s="123">
        <f t="shared" ca="1" si="9"/>
        <v>42.305999999999997</v>
      </c>
      <c r="AC11" s="123">
        <f t="shared" ca="1" si="10"/>
        <v>43.576000000000001</v>
      </c>
    </row>
    <row r="12" spans="1:30" x14ac:dyDescent="0.2">
      <c r="A12" s="4" t="s">
        <v>255</v>
      </c>
      <c r="B12" s="4" t="s">
        <v>184</v>
      </c>
      <c r="C12" s="75" t="s">
        <v>194</v>
      </c>
      <c r="D12" s="14" t="s">
        <v>251</v>
      </c>
      <c r="E12" s="4">
        <v>328</v>
      </c>
      <c r="F12" s="4">
        <v>7</v>
      </c>
      <c r="G12" s="4" t="s">
        <v>14</v>
      </c>
      <c r="H12" s="15">
        <f t="shared" ca="1" si="4"/>
        <v>44.74344677753902</v>
      </c>
      <c r="I12" s="15">
        <f t="shared" ca="1" si="0"/>
        <v>46.085750180865183</v>
      </c>
      <c r="J12" s="15">
        <f t="shared" ca="1" si="0"/>
        <v>47.468322686291145</v>
      </c>
      <c r="K12" s="15">
        <f t="shared" ca="1" si="0"/>
        <v>48.892372366879876</v>
      </c>
      <c r="L12" s="93"/>
      <c r="M12" s="93"/>
      <c r="N12" s="146" t="s">
        <v>377</v>
      </c>
      <c r="O12" s="146" t="str">
        <f t="shared" si="5"/>
        <v>52973C</v>
      </c>
      <c r="P12" s="139" t="str">
        <f t="shared" si="6"/>
        <v>Sanitation Equipment Repair Coordinator</v>
      </c>
      <c r="Q12" s="147" cm="1">
        <f t="array" aca="1" ref="Q12" ca="1">IF($N12="Y",((VLOOKUP($O12,INDIRECT($N$3),Q$6,0)))*INDIRECT($N$2),(VLOOKUP($O12,INDIRECT($N$3),Q$6,0)))</f>
        <v>44.74344677753902</v>
      </c>
      <c r="R12" s="147" cm="1">
        <f t="array" aca="1" ref="R12" ca="1">IF($N12="Y",((VLOOKUP($O12,INDIRECT($N$3),R$6,0)))*INDIRECT($N$2),(VLOOKUP($O12,INDIRECT($N$3),R$6,0)))</f>
        <v>46.085750180865183</v>
      </c>
      <c r="S12" s="147" cm="1">
        <f t="array" aca="1" ref="S12" ca="1">IF($N12="Y",((VLOOKUP($O12,INDIRECT($N$3),S$6,0)))*INDIRECT($N$2),(VLOOKUP($O12,INDIRECT($N$3),S$6,0)))</f>
        <v>47.468322686291145</v>
      </c>
      <c r="T12" s="147" cm="1">
        <f t="array" aca="1" ref="T12" ca="1">IF($N12="Y",((VLOOKUP($O12,INDIRECT($N$3),T$6,0)))*INDIRECT($N$2),(VLOOKUP($O12,INDIRECT($N$3),T$6,0)))</f>
        <v>48.892372366879876</v>
      </c>
      <c r="W12" s="116" t="str">
        <f t="shared" si="1"/>
        <v>52973C</v>
      </c>
      <c r="X12" s="117" t="str">
        <f t="shared" si="2"/>
        <v>12</v>
      </c>
      <c r="Y12" s="116" t="str">
        <f t="shared" si="2"/>
        <v>Sanitation Equipment Repair Coordinator</v>
      </c>
      <c r="Z12" s="123">
        <f t="shared" ca="1" si="7"/>
        <v>44.743000000000002</v>
      </c>
      <c r="AA12" s="123">
        <f t="shared" ca="1" si="8"/>
        <v>46.085999999999999</v>
      </c>
      <c r="AB12" s="123">
        <f t="shared" ca="1" si="9"/>
        <v>47.468000000000004</v>
      </c>
      <c r="AC12" s="123">
        <f t="shared" ca="1" si="10"/>
        <v>48.892000000000003</v>
      </c>
    </row>
    <row r="13" spans="1:30" x14ac:dyDescent="0.2">
      <c r="A13" s="4" t="s">
        <v>23</v>
      </c>
      <c r="B13" s="4" t="s">
        <v>184</v>
      </c>
      <c r="C13" s="75" t="s">
        <v>192</v>
      </c>
      <c r="D13" s="3" t="s">
        <v>214</v>
      </c>
      <c r="E13" s="4">
        <v>295</v>
      </c>
      <c r="F13" s="4">
        <v>6</v>
      </c>
      <c r="G13" s="4" t="s">
        <v>14</v>
      </c>
      <c r="H13" s="15">
        <f t="shared" ca="1" si="4"/>
        <v>40.226186048008671</v>
      </c>
      <c r="I13" s="15">
        <f t="shared" ca="1" si="0"/>
        <v>41.432971629448929</v>
      </c>
      <c r="J13" s="15">
        <f t="shared" ca="1" si="0"/>
        <v>42.675960778332396</v>
      </c>
      <c r="K13" s="15">
        <f t="shared" ca="1" si="0"/>
        <v>43.95623960168237</v>
      </c>
      <c r="L13" s="93"/>
      <c r="M13" s="93"/>
      <c r="N13" s="146" t="s">
        <v>377</v>
      </c>
      <c r="O13" s="146" t="str">
        <f t="shared" si="5"/>
        <v>10960C</v>
      </c>
      <c r="P13" s="139" t="str">
        <f t="shared" si="6"/>
        <v>Welder, Shop</v>
      </c>
      <c r="Q13" s="147" cm="1">
        <f t="array" aca="1" ref="Q13" ca="1">IF($N13="Y",((VLOOKUP($O13,INDIRECT($N$3),Q$6,0)))*INDIRECT($N$2),(VLOOKUP($O13,INDIRECT($N$3),Q$6,0)))</f>
        <v>40.226186048008671</v>
      </c>
      <c r="R13" s="147" cm="1">
        <f t="array" aca="1" ref="R13" ca="1">IF($N13="Y",((VLOOKUP($O13,INDIRECT($N$3),R$6,0)))*INDIRECT($N$2),(VLOOKUP($O13,INDIRECT($N$3),R$6,0)))</f>
        <v>41.432971629448929</v>
      </c>
      <c r="S13" s="147" cm="1">
        <f t="array" aca="1" ref="S13" ca="1">IF($N13="Y",((VLOOKUP($O13,INDIRECT($N$3),S$6,0)))*INDIRECT($N$2),(VLOOKUP($O13,INDIRECT($N$3),S$6,0)))</f>
        <v>42.675960778332396</v>
      </c>
      <c r="T13" s="147" cm="1">
        <f t="array" aca="1" ref="T13" ca="1">IF($N13="Y",((VLOOKUP($O13,INDIRECT($N$3),T$6,0)))*INDIRECT($N$2),(VLOOKUP($O13,INDIRECT($N$3),T$6,0)))</f>
        <v>43.95623960168237</v>
      </c>
      <c r="W13" s="116" t="str">
        <f t="shared" si="1"/>
        <v>10960C</v>
      </c>
      <c r="X13" s="117" t="str">
        <f t="shared" si="2"/>
        <v>05</v>
      </c>
      <c r="Y13" s="116" t="str">
        <f t="shared" si="2"/>
        <v>Welder, Shop</v>
      </c>
      <c r="Z13" s="123">
        <f t="shared" ca="1" si="7"/>
        <v>40.225999999999999</v>
      </c>
      <c r="AA13" s="123">
        <f t="shared" ca="1" si="8"/>
        <v>41.433</v>
      </c>
      <c r="AB13" s="123">
        <f t="shared" ca="1" si="9"/>
        <v>42.676000000000002</v>
      </c>
      <c r="AC13" s="123">
        <f t="shared" ca="1" si="10"/>
        <v>43.956000000000003</v>
      </c>
    </row>
    <row r="14" spans="1:30" x14ac:dyDescent="0.2">
      <c r="A14" s="4" t="s">
        <v>25</v>
      </c>
      <c r="B14" s="4" t="s">
        <v>184</v>
      </c>
      <c r="C14" s="75" t="s">
        <v>195</v>
      </c>
      <c r="D14" s="3" t="s">
        <v>283</v>
      </c>
      <c r="E14" s="4">
        <v>285</v>
      </c>
      <c r="F14" s="4">
        <v>6</v>
      </c>
      <c r="G14" s="4" t="s">
        <v>14</v>
      </c>
      <c r="H14" s="15">
        <f t="shared" si="4"/>
        <v>40.714487699123382</v>
      </c>
      <c r="I14" s="15">
        <f t="shared" si="0"/>
        <v>41.935922330097085</v>
      </c>
      <c r="J14" s="15">
        <f t="shared" si="0"/>
        <v>43.194000000000003</v>
      </c>
      <c r="K14" s="15">
        <f t="shared" si="0"/>
        <v>44.489820000000002</v>
      </c>
      <c r="L14" s="93"/>
      <c r="M14" s="93"/>
      <c r="N14" s="146" t="s">
        <v>377</v>
      </c>
      <c r="O14" s="146" t="str">
        <f t="shared" si="5"/>
        <v>08569C</v>
      </c>
      <c r="P14" s="200" t="str">
        <f t="shared" si="6"/>
        <v>Public Works Service Worker 2 (PWSW2)</v>
      </c>
      <c r="Q14" s="147">
        <f>R14/103%</f>
        <v>40.714487699123382</v>
      </c>
      <c r="R14" s="147">
        <f>S14/103%</f>
        <v>41.935922330097085</v>
      </c>
      <c r="S14" s="147">
        <f>T14/103%</f>
        <v>43.194000000000003</v>
      </c>
      <c r="T14" s="147">
        <f>43.194*103%</f>
        <v>44.489820000000002</v>
      </c>
      <c r="W14" s="116" t="str">
        <f t="shared" si="1"/>
        <v>08569C</v>
      </c>
      <c r="X14" s="117" t="str">
        <f t="shared" si="2"/>
        <v>20</v>
      </c>
      <c r="Y14" s="116" t="str">
        <f t="shared" si="2"/>
        <v>Public Works Service Worker 2 (PWSW2)</v>
      </c>
      <c r="Z14" s="123">
        <f t="shared" si="7"/>
        <v>40.713999999999999</v>
      </c>
      <c r="AA14" s="123">
        <f t="shared" si="8"/>
        <v>41.936</v>
      </c>
      <c r="AB14" s="123">
        <f t="shared" si="9"/>
        <v>43.194000000000003</v>
      </c>
      <c r="AC14" s="123">
        <f t="shared" si="10"/>
        <v>44.49</v>
      </c>
    </row>
    <row r="15" spans="1:30" s="5" customFormat="1" x14ac:dyDescent="0.2">
      <c r="A15" s="29"/>
      <c r="B15" s="29"/>
      <c r="C15" s="4"/>
      <c r="D15" s="28" t="s">
        <v>39</v>
      </c>
      <c r="E15" s="24"/>
      <c r="F15" s="24"/>
      <c r="G15" s="25"/>
      <c r="H15" s="4"/>
      <c r="I15" s="15"/>
      <c r="J15" s="4"/>
      <c r="K15" s="26"/>
      <c r="L15" s="26"/>
      <c r="M15" s="108"/>
      <c r="N15" s="148"/>
      <c r="O15" s="146"/>
      <c r="P15" s="139"/>
      <c r="Q15" s="147"/>
      <c r="R15" s="162"/>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c r="Q16" s="147"/>
      <c r="R16" s="147"/>
      <c r="S16" s="147"/>
      <c r="T16" s="147"/>
    </row>
    <row r="17" spans="1:30"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30" s="5" customFormat="1" ht="25.5" x14ac:dyDescent="0.2">
      <c r="A18" s="106" t="s">
        <v>280</v>
      </c>
      <c r="B18" s="106" t="s">
        <v>279</v>
      </c>
      <c r="C18" s="106" t="s">
        <v>281</v>
      </c>
      <c r="D18" s="103" t="s">
        <v>5</v>
      </c>
      <c r="E18" s="103" t="s">
        <v>6</v>
      </c>
      <c r="F18" s="106" t="s">
        <v>277</v>
      </c>
      <c r="G18" s="106" t="s">
        <v>278</v>
      </c>
      <c r="H18" s="107" t="s">
        <v>449</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39.61</v>
      </c>
      <c r="I19" s="15">
        <f>R19</f>
        <v>39.885999999999996</v>
      </c>
      <c r="J19" s="15">
        <f>S19</f>
        <v>40.161999999999992</v>
      </c>
      <c r="K19" s="15">
        <f>T19</f>
        <v>40.437999999999988</v>
      </c>
      <c r="L19" s="15">
        <f>U19</f>
        <v>40.713999999999999</v>
      </c>
      <c r="M19" s="2"/>
      <c r="N19" s="140" t="s">
        <v>377</v>
      </c>
      <c r="O19" s="146" t="str">
        <f>A19</f>
        <v>02624C</v>
      </c>
      <c r="P19" s="139" t="str">
        <f>D19</f>
        <v>PWSW2 Apprentice Program for  PWSW1's</v>
      </c>
      <c r="Q19" s="147">
        <v>39.61</v>
      </c>
      <c r="R19" s="147">
        <v>39.885999999999996</v>
      </c>
      <c r="S19" s="147">
        <v>40.161999999999992</v>
      </c>
      <c r="T19" s="147">
        <v>40.437999999999988</v>
      </c>
      <c r="U19" s="147">
        <v>40.713999999999999</v>
      </c>
      <c r="V19" s="2"/>
      <c r="W19" s="116" t="str">
        <f>O19</f>
        <v>02624C</v>
      </c>
      <c r="X19" s="117">
        <f>C19</f>
        <v>36</v>
      </c>
      <c r="Y19" s="116" t="str">
        <f>D19</f>
        <v>PWSW2 Apprentice Program for  PWSW1's</v>
      </c>
      <c r="Z19" s="123">
        <f>ROUND(Q19,3)</f>
        <v>39.61</v>
      </c>
      <c r="AA19" s="123">
        <f>ROUND(R19,3)</f>
        <v>39.886000000000003</v>
      </c>
      <c r="AB19" s="123">
        <f>ROUND(S19,3)</f>
        <v>40.161999999999999</v>
      </c>
      <c r="AC19" s="123">
        <f>ROUND(T19,3)</f>
        <v>40.438000000000002</v>
      </c>
      <c r="AD19" s="123">
        <f>ROUND(U19,3)</f>
        <v>40.713999999999999</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29"/>
      <c r="B21" s="29"/>
      <c r="C21" s="4"/>
      <c r="D21" s="23"/>
      <c r="E21" s="24"/>
      <c r="F21" s="24"/>
      <c r="G21" s="25"/>
      <c r="H21" s="4" t="s">
        <v>30</v>
      </c>
      <c r="I21" s="15"/>
      <c r="J21" s="4" t="s">
        <v>30</v>
      </c>
      <c r="K21" s="26"/>
      <c r="L21" s="26"/>
      <c r="M21" s="108"/>
      <c r="N21" s="148"/>
      <c r="O21" s="148"/>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201" t="s">
        <v>443</v>
      </c>
      <c r="I22" s="201" t="s">
        <v>444</v>
      </c>
      <c r="J22" s="201" t="s">
        <v>445</v>
      </c>
      <c r="K22" s="107"/>
      <c r="L22" s="107"/>
      <c r="M22" s="2"/>
      <c r="N22" s="140"/>
      <c r="O22" s="142" t="s">
        <v>280</v>
      </c>
      <c r="P22" s="143" t="s">
        <v>284</v>
      </c>
      <c r="Q22" s="143" t="s">
        <v>10</v>
      </c>
      <c r="R22" s="143" t="s">
        <v>186</v>
      </c>
      <c r="S22" s="143" t="s">
        <v>187</v>
      </c>
      <c r="T22" s="143" t="s">
        <v>188</v>
      </c>
      <c r="U22" s="143" t="s">
        <v>189</v>
      </c>
      <c r="V22" s="15"/>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388</v>
      </c>
      <c r="B23" s="29" t="s">
        <v>184</v>
      </c>
      <c r="C23" s="4">
        <v>38</v>
      </c>
      <c r="D23" s="132" t="s">
        <v>389</v>
      </c>
      <c r="E23" s="24">
        <v>263</v>
      </c>
      <c r="F23" s="25">
        <v>5</v>
      </c>
      <c r="G23" s="25" t="s">
        <v>14</v>
      </c>
      <c r="H23" s="15">
        <f ca="1">Q23</f>
        <v>24.634107487724762</v>
      </c>
      <c r="I23" s="15">
        <f ca="1">R23</f>
        <v>28.815157634672953</v>
      </c>
      <c r="J23" s="15">
        <f ca="1">S23</f>
        <v>37.204947002390192</v>
      </c>
      <c r="K23" s="26"/>
      <c r="L23" s="26"/>
      <c r="M23" s="108"/>
      <c r="N23" s="148" t="s">
        <v>377</v>
      </c>
      <c r="O23" s="146" t="str">
        <f>A23</f>
        <v>52919C</v>
      </c>
      <c r="P23" s="139" t="str">
        <f>D23</f>
        <v>Auto Mechanic Trainee</v>
      </c>
      <c r="Q23" s="147" cm="1">
        <f t="array" aca="1" ref="Q23" ca="1">IF($N23="Y",((VLOOKUP($O23,INDIRECT($N$3),Q$6,0)))*INDIRECT($N$2),(VLOOKUP($O23,INDIRECT($N$3),Q$6,0)))</f>
        <v>24.634107487724762</v>
      </c>
      <c r="R23" s="147" cm="1">
        <f t="array" aca="1" ref="R23" ca="1">IF($N23="Y",((VLOOKUP($O23,INDIRECT($N$3),R$6,0)))*INDIRECT($N$2),(VLOOKUP($O23,INDIRECT($N$3),R$6,0)))</f>
        <v>28.815157634672953</v>
      </c>
      <c r="S23" s="147" cm="1">
        <f t="array" aca="1" ref="S23" ca="1">IF($N23="Y",((VLOOKUP($O23,INDIRECT($N$3),S$6,0)))*INDIRECT($N$2),(VLOOKUP($O23,INDIRECT($N$3),S$6,0)))</f>
        <v>37.204947002390192</v>
      </c>
      <c r="T23" s="147" cm="1">
        <f t="array" aca="1" ref="T23" ca="1">IF($N23="Y",((VLOOKUP($O23,INDIRECT($N$3),T$6,0)))*INDIRECT($N$2),(VLOOKUP($O23,INDIRECT($N$3),T$6,0)))</f>
        <v>0</v>
      </c>
      <c r="U23" s="147" cm="1">
        <f t="array" aca="1" ref="U23" ca="1">IF($N23="Y",((VLOOKUP($O23,INDIRECT($N$3),U$6,0)))*INDIRECT($N$2),(VLOOKUP($O23,INDIRECT($N$3),U$6,0)))</f>
        <v>0</v>
      </c>
      <c r="V23" s="2"/>
      <c r="W23" s="116" t="str">
        <f>O23</f>
        <v>52919C</v>
      </c>
      <c r="X23" s="117">
        <f>C23</f>
        <v>38</v>
      </c>
      <c r="Y23" s="116" t="str">
        <f>D23</f>
        <v>Auto Mechanic Trainee</v>
      </c>
      <c r="Z23" s="123">
        <f ca="1">ROUND(Q23,3)</f>
        <v>24.634</v>
      </c>
      <c r="AA23" s="123">
        <f ca="1">ROUND(R23,3)</f>
        <v>28.815000000000001</v>
      </c>
      <c r="AB23" s="123">
        <f ca="1">ROUND(S23,3)</f>
        <v>37.204999999999998</v>
      </c>
      <c r="AC23" s="123">
        <f ca="1">ROUND(T23,3)</f>
        <v>0</v>
      </c>
      <c r="AD23" s="123">
        <f ca="1">ROUND(U23,3)</f>
        <v>0</v>
      </c>
    </row>
    <row r="24" spans="1:30" s="5" customFormat="1" x14ac:dyDescent="0.2">
      <c r="A24" s="29"/>
      <c r="B24" s="29"/>
      <c r="C24" s="4"/>
      <c r="D24" s="23"/>
      <c r="E24" s="24"/>
      <c r="F24" s="24"/>
      <c r="G24" s="25"/>
      <c r="H24" s="135"/>
      <c r="I24" s="15"/>
      <c r="J24" s="135"/>
      <c r="K24" s="96"/>
      <c r="L24" s="26"/>
      <c r="M24" s="108"/>
      <c r="N24" s="148"/>
      <c r="O24" s="148"/>
      <c r="P24" s="139"/>
      <c r="Q24" s="140"/>
      <c r="R24" s="140"/>
      <c r="S24" s="140"/>
      <c r="T24" s="140"/>
      <c r="U24" s="140"/>
      <c r="V24" s="2"/>
      <c r="W24" s="116"/>
      <c r="X24" s="117"/>
      <c r="Y24" s="116"/>
      <c r="Z24" s="117"/>
      <c r="AA24" s="117"/>
      <c r="AB24" s="116"/>
      <c r="AC24" s="136"/>
      <c r="AD24" s="136"/>
    </row>
    <row r="25" spans="1:30" s="5" customFormat="1" x14ac:dyDescent="0.2">
      <c r="A25" s="29"/>
      <c r="B25" s="31"/>
      <c r="C25" s="31"/>
      <c r="D25" s="31"/>
      <c r="E25" s="82"/>
      <c r="F25" s="31"/>
      <c r="G25" s="31"/>
      <c r="H25" s="31"/>
      <c r="I25" s="31"/>
      <c r="J25" s="31"/>
      <c r="M25" s="2"/>
      <c r="N25" s="140"/>
      <c r="O25" s="139"/>
      <c r="P25" s="139"/>
      <c r="Q25" s="140"/>
      <c r="R25" s="140"/>
      <c r="S25" s="140"/>
      <c r="T25" s="140"/>
      <c r="U25" s="140"/>
      <c r="V25" s="2"/>
      <c r="W25" s="116"/>
      <c r="X25" s="117"/>
      <c r="Y25" s="116"/>
      <c r="Z25" s="117"/>
      <c r="AA25" s="117"/>
      <c r="AB25" s="116"/>
      <c r="AC25" s="136"/>
      <c r="AD25" s="136"/>
    </row>
    <row r="26" spans="1:30" x14ac:dyDescent="0.2">
      <c r="A26" s="2" t="str">
        <f>"A Supplemental Pension contribution of "&amp;TEXT(Q26,"$0.000")&amp;" per hour for all hours paid will be made to the Central Pension Fund."</f>
        <v>A Supplemental Pension contribution of $2.500 per hour for all hours paid will be made to the Central Pension Fund.</v>
      </c>
      <c r="B26" s="31"/>
      <c r="C26" s="31"/>
      <c r="D26" s="31"/>
      <c r="E26" s="82"/>
      <c r="F26" s="31"/>
      <c r="G26" s="31"/>
      <c r="H26" s="31"/>
      <c r="I26" s="31"/>
      <c r="J26" s="31"/>
      <c r="K26" s="2"/>
      <c r="L26" s="2"/>
      <c r="O26" s="139" t="s">
        <v>477</v>
      </c>
      <c r="P26" s="139" t="s">
        <v>375</v>
      </c>
      <c r="Q26" s="172">
        <v>2.5</v>
      </c>
      <c r="R26" s="152"/>
      <c r="W26" s="116" t="str">
        <f>O26</f>
        <v>SPA</v>
      </c>
      <c r="X26" s="116" t="str">
        <f>P26</f>
        <v>Pension fund contribution</v>
      </c>
      <c r="Z26" s="123">
        <f>Q26</f>
        <v>2.5</v>
      </c>
    </row>
    <row r="27" spans="1:30" s="33" customFormat="1" x14ac:dyDescent="0.2">
      <c r="A27" s="1"/>
      <c r="E27" s="83"/>
      <c r="K27" s="34"/>
      <c r="L27" s="34"/>
      <c r="N27" s="140"/>
      <c r="O27" s="151"/>
      <c r="P27" s="151"/>
      <c r="Q27" s="140"/>
      <c r="R27" s="140"/>
      <c r="S27" s="140"/>
      <c r="T27" s="140"/>
      <c r="U27" s="140"/>
      <c r="W27" s="125"/>
      <c r="X27" s="117"/>
      <c r="Y27" s="125"/>
      <c r="Z27" s="117"/>
      <c r="AA27" s="117"/>
      <c r="AB27" s="125"/>
      <c r="AC27" s="125"/>
      <c r="AD27" s="125"/>
    </row>
    <row r="28" spans="1:30" s="33" customFormat="1" x14ac:dyDescent="0.2">
      <c r="A28" s="36" t="s">
        <v>416</v>
      </c>
      <c r="E28" s="83"/>
      <c r="K28" s="34"/>
      <c r="L28" s="34"/>
      <c r="N28" s="140"/>
      <c r="O28" s="151"/>
      <c r="P28" s="151"/>
      <c r="Q28" s="140"/>
      <c r="R28" s="140"/>
      <c r="S28" s="140"/>
      <c r="T28" s="140"/>
      <c r="U28" s="140"/>
      <c r="W28" s="125"/>
      <c r="X28" s="117"/>
      <c r="Y28" s="125"/>
      <c r="Z28" s="117"/>
      <c r="AA28" s="117"/>
      <c r="AB28" s="125"/>
      <c r="AC28" s="125"/>
      <c r="AD28" s="125"/>
    </row>
    <row r="29" spans="1:30" x14ac:dyDescent="0.2">
      <c r="A29" s="36" t="s">
        <v>46</v>
      </c>
      <c r="F29" s="4"/>
      <c r="G29" s="35"/>
      <c r="H29" s="35"/>
      <c r="I29" s="35"/>
      <c r="J29" s="4"/>
    </row>
    <row r="30" spans="1:30" s="33" customFormat="1" x14ac:dyDescent="0.2">
      <c r="A30" s="18"/>
      <c r="B30" s="19"/>
      <c r="C30" s="19"/>
      <c r="D30" s="19"/>
      <c r="E30" s="84"/>
      <c r="F30" s="37"/>
      <c r="G30" s="38"/>
      <c r="H30" s="37"/>
      <c r="I30" s="37"/>
      <c r="J30" s="37"/>
      <c r="K30" s="2"/>
      <c r="L30" s="34"/>
      <c r="N30" s="140"/>
      <c r="O30" s="151"/>
      <c r="P30" s="151"/>
      <c r="Q30" s="140"/>
      <c r="R30" s="140"/>
      <c r="S30" s="140"/>
      <c r="T30" s="140"/>
      <c r="U30" s="140"/>
      <c r="W30" s="125"/>
      <c r="X30" s="117"/>
      <c r="Y30" s="125"/>
      <c r="Z30" s="117"/>
      <c r="AA30" s="117"/>
      <c r="AB30" s="125"/>
      <c r="AC30" s="125"/>
      <c r="AD30" s="125"/>
    </row>
    <row r="31" spans="1:30" s="33" customFormat="1" x14ac:dyDescent="0.2">
      <c r="A31" s="39" t="s">
        <v>229</v>
      </c>
      <c r="E31" s="83"/>
      <c r="L31" s="34"/>
      <c r="M31" s="2"/>
      <c r="N31" s="140"/>
      <c r="O31" s="151"/>
      <c r="P31" s="151"/>
      <c r="Q31" s="140"/>
      <c r="R31" s="140"/>
      <c r="S31" s="140"/>
      <c r="T31" s="140"/>
      <c r="U31" s="140"/>
      <c r="W31" s="155" t="s">
        <v>398</v>
      </c>
      <c r="X31" s="157"/>
      <c r="Y31" s="155"/>
      <c r="Z31" s="157" t="s">
        <v>399</v>
      </c>
      <c r="AA31" s="117"/>
      <c r="AB31" s="125"/>
      <c r="AC31" s="125"/>
      <c r="AD31" s="125"/>
    </row>
    <row r="32" spans="1:30" x14ac:dyDescent="0.2">
      <c r="A32" s="39" t="str">
        <f ca="1">"Paver (Blaw Knox &amp; Gilcrest), Brokk, or Curb Machine, they shall be paid a premium of "&amp;TEXT(Q32,"$0.000")&amp;" per hour for all hours on the equipment."</f>
        <v>Paver (Blaw Knox &amp; Gilcrest), Brokk, or Curb Machine, they shall be paid a premium of $1.417 per hour for all hours on the equipment.</v>
      </c>
      <c r="B32" s="33"/>
      <c r="C32" s="33"/>
      <c r="D32" s="33"/>
      <c r="G32"/>
      <c r="H32"/>
      <c r="I32" s="33"/>
      <c r="J32" s="33"/>
      <c r="K32" s="33"/>
      <c r="M32" s="33"/>
      <c r="N32" s="140" t="s">
        <v>377</v>
      </c>
      <c r="O32" s="139" t="s">
        <v>351</v>
      </c>
      <c r="P32" s="139" t="s">
        <v>352</v>
      </c>
      <c r="Q32" s="147" cm="1">
        <f t="array" aca="1" ref="Q32" ca="1">IF($N32="Y",((VLOOKUP($O32,INDIRECT($N$3),Q$6,0)))*INDIRECT($N$2),(VLOOKUP($O32,INDIRECT($N$3),Q$6,0)))</f>
        <v>1.416651952694042</v>
      </c>
      <c r="W32" s="116" t="str">
        <f>O32</f>
        <v>CEQEQB</v>
      </c>
      <c r="Y32" s="116" t="str">
        <f>P32</f>
        <v>TL-Equipment B-CEQ</v>
      </c>
      <c r="Z32" s="123">
        <f ca="1">Q32</f>
        <v>1.416651952694042</v>
      </c>
    </row>
    <row r="33" spans="1:30" s="33" customFormat="1" x14ac:dyDescent="0.2">
      <c r="A33" s="20"/>
      <c r="B33" s="19"/>
      <c r="C33" s="19"/>
      <c r="D33" s="19"/>
      <c r="E33" s="80"/>
      <c r="F33" s="19"/>
      <c r="G33" s="20"/>
      <c r="H33" s="37"/>
      <c r="I33" s="37"/>
      <c r="J33" s="37"/>
      <c r="K33" s="2"/>
      <c r="L33" s="34"/>
      <c r="N33" s="140"/>
      <c r="O33" s="151"/>
      <c r="P33" s="151"/>
      <c r="Q33" s="140"/>
      <c r="R33" s="140"/>
      <c r="S33" s="140"/>
      <c r="T33" s="140"/>
      <c r="U33" s="140"/>
      <c r="W33" s="125"/>
      <c r="X33" s="117"/>
      <c r="Y33" s="125"/>
      <c r="Z33" s="117"/>
      <c r="AA33" s="117"/>
      <c r="AB33" s="125"/>
      <c r="AC33" s="125"/>
      <c r="AD33" s="125"/>
    </row>
    <row r="34" spans="1:30" s="33" customFormat="1" x14ac:dyDescent="0.2">
      <c r="A34" s="39" t="s">
        <v>230</v>
      </c>
      <c r="E34" s="83"/>
      <c r="G34" s="4"/>
      <c r="L34" s="34"/>
      <c r="N34" s="140"/>
      <c r="O34" s="151"/>
      <c r="P34" s="151"/>
      <c r="Q34" s="140"/>
      <c r="R34" s="140"/>
      <c r="S34" s="140"/>
      <c r="T34" s="140"/>
      <c r="U34" s="140"/>
      <c r="W34" s="125"/>
      <c r="X34" s="117"/>
      <c r="Y34" s="125"/>
      <c r="Z34" s="117"/>
      <c r="AA34" s="117"/>
      <c r="AB34" s="125"/>
      <c r="AC34" s="125"/>
      <c r="AD34" s="125"/>
    </row>
    <row r="35" spans="1:30" x14ac:dyDescent="0.2">
      <c r="A35" s="39" t="str">
        <f ca="1">"Hydraulic Boom Crane (Carry Deck), or Boring Machine, they shall be paid a premium of "&amp;TEXT(Q35,"$0.000")&amp;" per  hour for all hours on the equipment."</f>
        <v>Hydraulic Boom Crane (Carry Deck), or Boring Machine, they shall be paid a premium of $2.318 per  hour for all hours on the equipment.</v>
      </c>
      <c r="B35" s="33"/>
      <c r="C35" s="33"/>
      <c r="D35" s="33"/>
      <c r="G35"/>
      <c r="H35"/>
      <c r="I35" s="33"/>
      <c r="J35" s="33"/>
      <c r="K35" s="33"/>
      <c r="N35" s="140" t="s">
        <v>377</v>
      </c>
      <c r="O35" s="139" t="s">
        <v>350</v>
      </c>
      <c r="P35" s="139" t="s">
        <v>349</v>
      </c>
      <c r="Q35" s="147" cm="1">
        <f t="array" aca="1" ref="Q35" ca="1">IF($N35="Y",((VLOOKUP($O35,INDIRECT($N$3),Q$6,0)))*INDIRECT($N$2),(VLOOKUP($O35,INDIRECT($N$3),Q$6,0)))</f>
        <v>2.3181577407720693</v>
      </c>
      <c r="W35" s="116" t="str">
        <f>O35</f>
        <v>CEQEQC</v>
      </c>
      <c r="Y35" s="116" t="str">
        <f>P35</f>
        <v>TL-Equipment C-CEQ</v>
      </c>
      <c r="Z35" s="123">
        <f ca="1">Q35</f>
        <v>2.3181577407720693</v>
      </c>
    </row>
    <row r="36" spans="1:30" s="33" customFormat="1" x14ac:dyDescent="0.2">
      <c r="A36" s="20"/>
      <c r="E36" s="83"/>
      <c r="G36" s="4"/>
      <c r="K36" s="34"/>
      <c r="L36" s="34"/>
      <c r="N36" s="140"/>
      <c r="O36" s="151"/>
      <c r="P36" s="151"/>
      <c r="Q36" s="140"/>
      <c r="R36" s="140"/>
      <c r="S36" s="140"/>
      <c r="T36" s="140"/>
      <c r="U36" s="140"/>
      <c r="W36" s="125"/>
      <c r="X36" s="117"/>
      <c r="Y36" s="125"/>
      <c r="Z36" s="117"/>
      <c r="AA36" s="117"/>
      <c r="AB36" s="125"/>
      <c r="AC36" s="125"/>
      <c r="AD36" s="125"/>
    </row>
    <row r="37" spans="1:30" s="33" customFormat="1" x14ac:dyDescent="0.2">
      <c r="A37" s="20"/>
      <c r="E37" s="83"/>
      <c r="G37" s="4"/>
      <c r="K37" s="34"/>
      <c r="L37" s="34"/>
      <c r="N37" s="140"/>
      <c r="O37" s="151"/>
      <c r="P37" s="151"/>
      <c r="Q37" s="140"/>
      <c r="R37" s="140"/>
      <c r="S37" s="140"/>
      <c r="T37" s="140"/>
      <c r="U37" s="140"/>
      <c r="W37" s="125"/>
      <c r="X37" s="117"/>
      <c r="Y37" s="125"/>
      <c r="Z37" s="117"/>
      <c r="AA37" s="117"/>
      <c r="AB37" s="125"/>
      <c r="AC37" s="125"/>
      <c r="AD37" s="125"/>
    </row>
    <row r="38" spans="1:30" x14ac:dyDescent="0.2">
      <c r="A38" s="91" t="s">
        <v>415</v>
      </c>
      <c r="C38" s="41"/>
      <c r="D38" s="19"/>
      <c r="E38" s="80"/>
      <c r="F38" s="19"/>
      <c r="G38"/>
      <c r="H38"/>
      <c r="I38" s="37"/>
      <c r="J38" s="37"/>
      <c r="Q38" s="147"/>
    </row>
    <row r="39" spans="1:30" x14ac:dyDescent="0.2">
      <c r="A39" s="19" t="str">
        <f ca="1">TEXT(Q39,"$0.000")&amp;" per hour shall be paid to all employees while operating a Class 'A' - combination vehicle as defined by Federal DOT regulations. "</f>
        <v xml:space="preserve">$2.124 per hour shall be paid to all employees while operating a Class 'A' - combination vehicle as defined by Federal DOT regulations. </v>
      </c>
      <c r="C39" s="41"/>
      <c r="D39" s="19"/>
      <c r="E39" s="80"/>
      <c r="F39" s="19"/>
      <c r="G39" s="19"/>
      <c r="H39" s="37"/>
      <c r="I39" s="37"/>
      <c r="J39" s="37"/>
      <c r="N39" s="140" t="s">
        <v>377</v>
      </c>
      <c r="O39" s="139" t="s">
        <v>348</v>
      </c>
      <c r="P39" s="139" t="s">
        <v>347</v>
      </c>
      <c r="Q39" s="147" cm="1">
        <f t="array" aca="1" ref="Q39" ca="1">IF($N39="Y",((VLOOKUP($O39,INDIRECT($N$3),Q$6,0)))*INDIRECT($N$2),(VLOOKUP($O39,INDIRECT($N$3),Q$6,0)))</f>
        <v>2.1238071423032996</v>
      </c>
      <c r="W39" s="116" t="str">
        <f>O39</f>
        <v>CEQSPE</v>
      </c>
      <c r="Y39" s="116" t="str">
        <f>P39</f>
        <v>TL-Special Endorsement-CEQ</v>
      </c>
      <c r="Z39" s="123">
        <f ca="1">Q39</f>
        <v>2.1238071423032996</v>
      </c>
    </row>
    <row r="40" spans="1:30" x14ac:dyDescent="0.2">
      <c r="A40" s="2" t="s">
        <v>215</v>
      </c>
      <c r="C40" s="41"/>
      <c r="D40" s="19"/>
      <c r="E40" s="80"/>
      <c r="F40" s="19"/>
      <c r="G40" s="19"/>
      <c r="H40" s="37"/>
      <c r="I40" s="37"/>
      <c r="J40" s="37"/>
    </row>
    <row r="41" spans="1:30" s="33" customFormat="1" x14ac:dyDescent="0.2">
      <c r="A41" s="20"/>
      <c r="E41" s="83"/>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43" t="s">
        <v>414</v>
      </c>
      <c r="B42" s="44"/>
      <c r="E42" s="83"/>
      <c r="K42" s="45"/>
      <c r="L42" s="34"/>
      <c r="N42" s="140"/>
      <c r="O42" s="151"/>
      <c r="P42" s="151"/>
      <c r="Q42" s="140"/>
      <c r="R42" s="140"/>
      <c r="S42" s="140"/>
      <c r="T42" s="140"/>
      <c r="U42" s="140"/>
      <c r="W42" s="125"/>
      <c r="X42" s="117"/>
      <c r="Y42" s="125"/>
      <c r="Z42" s="117"/>
      <c r="AA42" s="117"/>
      <c r="AB42" s="125"/>
      <c r="AC42" s="125"/>
      <c r="AD42" s="125"/>
    </row>
    <row r="43" spans="1:30" s="33" customFormat="1" x14ac:dyDescent="0.2">
      <c r="A43" s="39" t="s">
        <v>227</v>
      </c>
      <c r="E43" s="83"/>
      <c r="L43" s="34"/>
      <c r="N43" s="140"/>
      <c r="O43" s="151"/>
      <c r="P43" s="151"/>
      <c r="Q43" s="140"/>
      <c r="R43" s="140"/>
      <c r="S43" s="140"/>
      <c r="T43" s="140"/>
      <c r="U43" s="140"/>
      <c r="W43" s="125"/>
      <c r="X43" s="117"/>
      <c r="Y43" s="125"/>
      <c r="Z43" s="117"/>
      <c r="AA43" s="117"/>
      <c r="AB43" s="125"/>
      <c r="AC43" s="125"/>
      <c r="AD43" s="125"/>
    </row>
    <row r="44" spans="1:30" s="33" customFormat="1" x14ac:dyDescent="0.2">
      <c r="A44" s="39" t="str">
        <f ca="1">"of Plant Repair Worker, Plant Operator, and Blacksmith to receive an additional "&amp;TEXT(Q44,"$0.000")&amp;" per hour for attaining and"</f>
        <v>of Plant Repair Worker, Plant Operator, and Blacksmith to receive an additional $0.354 per hour for attaining and</v>
      </c>
      <c r="E44" s="83"/>
      <c r="L44" s="34"/>
      <c r="N44" s="140" t="s">
        <v>377</v>
      </c>
      <c r="O44" s="151" t="s">
        <v>342</v>
      </c>
      <c r="P44" s="151" t="s">
        <v>341</v>
      </c>
      <c r="Q44" s="147" cm="1">
        <f t="array" aca="1" ref="Q44" ca="1">IF($N44="Y",((VLOOKUP($O44,INDIRECT($N$3),Q$6,0)))*INDIRECT($N$2),(VLOOKUP($O44,INDIRECT($N$3),Q$6,0)))</f>
        <v>0.35357759480462869</v>
      </c>
      <c r="R44" s="140"/>
      <c r="S44" s="140"/>
      <c r="T44" s="140"/>
      <c r="U44" s="140"/>
      <c r="W44" s="116" t="str">
        <f>O44</f>
        <v>CEQHAZ</v>
      </c>
      <c r="X44" s="117"/>
      <c r="Y44" s="116" t="str">
        <f>P44</f>
        <v>Haz-Mat Certification</v>
      </c>
      <c r="Z44" s="123">
        <f ca="1">Q44</f>
        <v>0.35357759480462869</v>
      </c>
      <c r="AA44" s="117"/>
      <c r="AB44" s="125"/>
      <c r="AC44" s="125"/>
      <c r="AD44" s="125"/>
    </row>
    <row r="45" spans="1:30" s="33" customFormat="1" x14ac:dyDescent="0.2">
      <c r="A45" s="33" t="s">
        <v>318</v>
      </c>
      <c r="E45" s="83"/>
      <c r="L45" s="45">
        <v>0.23699999999999999</v>
      </c>
      <c r="N45" s="140"/>
      <c r="O45" s="151"/>
      <c r="P45" s="151"/>
      <c r="Q45" s="140"/>
      <c r="R45" s="140"/>
      <c r="S45" s="140"/>
      <c r="T45" s="140"/>
      <c r="U45" s="140"/>
      <c r="W45" s="125"/>
      <c r="X45" s="117"/>
      <c r="Y45" s="125"/>
      <c r="Z45" s="117"/>
      <c r="AA45" s="117"/>
      <c r="AB45" s="125"/>
      <c r="AC45" s="125"/>
      <c r="AD45" s="125"/>
    </row>
    <row r="46" spans="1:30" s="33" customFormat="1" x14ac:dyDescent="0.2">
      <c r="A46" s="39" t="s">
        <v>319</v>
      </c>
      <c r="E46" s="83"/>
      <c r="L46" s="34"/>
      <c r="N46" s="140"/>
      <c r="O46" s="151"/>
      <c r="P46" s="151"/>
      <c r="Q46" s="140"/>
      <c r="R46" s="140"/>
      <c r="S46" s="140"/>
      <c r="T46" s="140"/>
      <c r="U46" s="140"/>
      <c r="W46" s="125"/>
      <c r="X46" s="117"/>
      <c r="Y46" s="125"/>
      <c r="Z46" s="117"/>
      <c r="AA46" s="117"/>
      <c r="AB46" s="125"/>
      <c r="AC46" s="125"/>
      <c r="AD46" s="125"/>
    </row>
    <row r="47" spans="1:30" s="33" customFormat="1" x14ac:dyDescent="0.2">
      <c r="A47" s="39" t="s">
        <v>320</v>
      </c>
      <c r="E47" s="83"/>
      <c r="L47" s="34"/>
      <c r="N47" s="140"/>
      <c r="O47" s="151"/>
      <c r="P47" s="151"/>
      <c r="Q47" s="140"/>
      <c r="R47" s="140"/>
      <c r="S47" s="140"/>
      <c r="T47" s="140"/>
      <c r="U47" s="140"/>
      <c r="W47" s="125"/>
      <c r="X47" s="117"/>
      <c r="Y47" s="125"/>
      <c r="Z47" s="117"/>
      <c r="AA47" s="117"/>
      <c r="AB47" s="125"/>
      <c r="AC47" s="125"/>
      <c r="AD47" s="125"/>
    </row>
    <row r="48" spans="1:30" s="33" customFormat="1" x14ac:dyDescent="0.2">
      <c r="A48" s="39" t="s">
        <v>321</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
        <v>322</v>
      </c>
      <c r="E49" s="83"/>
      <c r="L49" s="34"/>
      <c r="N49" s="140"/>
      <c r="O49" s="151"/>
      <c r="P49" s="151"/>
      <c r="Q49" s="140"/>
      <c r="R49" s="140"/>
      <c r="S49" s="140"/>
      <c r="T49" s="140"/>
      <c r="U49" s="140"/>
      <c r="W49" s="125"/>
      <c r="X49" s="117"/>
      <c r="Y49" s="125"/>
      <c r="Z49" s="117"/>
      <c r="AA49" s="117"/>
      <c r="AB49" s="125"/>
      <c r="AC49" s="125"/>
      <c r="AD49" s="125"/>
    </row>
    <row r="50" spans="1:30" s="33" customFormat="1" x14ac:dyDescent="0.2">
      <c r="A50" s="39"/>
      <c r="E50" s="83"/>
      <c r="K50" s="34"/>
      <c r="L50" s="34"/>
      <c r="N50" s="140"/>
      <c r="O50" s="151"/>
      <c r="P50" s="151"/>
      <c r="Q50" s="140"/>
      <c r="R50" s="140"/>
      <c r="S50" s="140"/>
      <c r="T50" s="140"/>
      <c r="U50" s="140"/>
      <c r="W50" s="125"/>
      <c r="X50" s="117"/>
      <c r="Y50" s="125"/>
      <c r="Z50" s="117"/>
      <c r="AA50" s="117"/>
      <c r="AB50" s="125"/>
      <c r="AC50" s="125"/>
      <c r="AD50" s="125"/>
    </row>
    <row r="51" spans="1:30" s="33" customFormat="1" x14ac:dyDescent="0.2">
      <c r="A51" s="39" t="s">
        <v>64</v>
      </c>
      <c r="E51" s="83"/>
      <c r="K51" s="34"/>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323</v>
      </c>
      <c r="E52" s="83"/>
      <c r="K52" s="34"/>
      <c r="L52" s="34"/>
      <c r="N52" s="140"/>
      <c r="O52" s="151"/>
      <c r="P52" s="151"/>
      <c r="Q52" s="140"/>
      <c r="R52" s="140"/>
      <c r="S52" s="140"/>
      <c r="T52" s="140"/>
      <c r="U52" s="140"/>
      <c r="W52" s="125"/>
      <c r="X52" s="117"/>
      <c r="Y52" s="125"/>
      <c r="Z52" s="117"/>
      <c r="AA52" s="117"/>
      <c r="AB52" s="125"/>
      <c r="AC52" s="125"/>
      <c r="AD52" s="125"/>
    </row>
    <row r="53" spans="1:30" s="33" customFormat="1" x14ac:dyDescent="0.2">
      <c r="A53" s="47" t="str">
        <f ca="1">"Level A (as defined by OSHA) - "&amp;TEXT(Q53,"$0.000")&amp;" per hour"</f>
        <v>Level A (as defined by OSHA) - $2.213 per hour</v>
      </c>
      <c r="E53" s="83"/>
      <c r="F53"/>
      <c r="G53"/>
      <c r="K53" s="34"/>
      <c r="L53" s="34"/>
      <c r="N53" s="140" t="s">
        <v>377</v>
      </c>
      <c r="O53" s="151" t="s">
        <v>345</v>
      </c>
      <c r="P53" s="151" t="s">
        <v>343</v>
      </c>
      <c r="Q53" s="147" cm="1">
        <f t="array" aca="1" ref="Q53" ca="1">IF($N53="Y",((VLOOKUP($O53,INDIRECT($N$3),Q$6,0)))*INDIRECT($N$2),(VLOOKUP($O53,INDIRECT($N$3),Q$6,0)))</f>
        <v>2.212806365640533</v>
      </c>
      <c r="R53" s="140"/>
      <c r="S53" s="140"/>
      <c r="T53" s="140"/>
      <c r="U53" s="140"/>
      <c r="W53" s="116" t="str">
        <f>O53</f>
        <v>CEQOPA</v>
      </c>
      <c r="X53" s="117"/>
      <c r="Y53" s="116" t="str">
        <f t="shared" ref="Y53:Z55" si="11">P53</f>
        <v>TL-OSHA Prot Equip A-CEQ</v>
      </c>
      <c r="Z53" s="123">
        <f t="shared" ca="1" si="11"/>
        <v>2.212806365640533</v>
      </c>
      <c r="AA53" s="117"/>
      <c r="AB53" s="125"/>
      <c r="AC53" s="125"/>
      <c r="AD53" s="125"/>
    </row>
    <row r="54" spans="1:30" s="33" customFormat="1" x14ac:dyDescent="0.2">
      <c r="A54" s="47" t="str">
        <f ca="1">"Level B (as defined by OSHA) - "&amp;TEXT(Q54,"$0.000")&amp;" per hour"</f>
        <v>Level B (as defined by OSHA) - $1.592 per hour</v>
      </c>
      <c r="E54" s="83"/>
      <c r="F54"/>
      <c r="G54"/>
      <c r="K54" s="34"/>
      <c r="L54" s="34"/>
      <c r="N54" s="140" t="s">
        <v>377</v>
      </c>
      <c r="O54" s="151" t="s">
        <v>346</v>
      </c>
      <c r="P54" s="151" t="s">
        <v>344</v>
      </c>
      <c r="Q54" s="147" cm="1">
        <f t="array" aca="1" ref="Q54" ca="1">IF($N54="Y",((VLOOKUP($O54,INDIRECT($N$3),Q$6,0)))*INDIRECT($N$2),(VLOOKUP($O54,INDIRECT($N$3),Q$6,0)))</f>
        <v>1.5917184170599663</v>
      </c>
      <c r="R54" s="140"/>
      <c r="S54" s="140"/>
      <c r="T54" s="140"/>
      <c r="U54" s="140"/>
      <c r="W54" s="116" t="str">
        <f>O54</f>
        <v>CEQOPB</v>
      </c>
      <c r="X54" s="117"/>
      <c r="Y54" s="116" t="str">
        <f t="shared" si="11"/>
        <v>TL-OSHA Prot Equip B-CEQ</v>
      </c>
      <c r="Z54" s="123">
        <f t="shared" ca="1" si="11"/>
        <v>1.5917184170599663</v>
      </c>
      <c r="AA54" s="117"/>
      <c r="AB54" s="125"/>
      <c r="AC54" s="125"/>
      <c r="AD54" s="125"/>
    </row>
    <row r="55" spans="1:30" x14ac:dyDescent="0.2">
      <c r="A55" s="47" t="str">
        <f ca="1">"Level C (as defined by OSHA) - "&amp;TEXT(Q55,"$0.000")&amp;" per hour"</f>
        <v>Level C (as defined by OSHA) - $1.062 per hour</v>
      </c>
      <c r="B55" s="20"/>
      <c r="C55" s="19"/>
      <c r="D55" s="19"/>
      <c r="E55" s="80"/>
      <c r="F55"/>
      <c r="G55"/>
      <c r="H55" s="37"/>
      <c r="I55" s="37"/>
      <c r="J55" s="37"/>
      <c r="K55" s="50"/>
      <c r="N55" s="140" t="s">
        <v>377</v>
      </c>
      <c r="O55" s="139" t="s">
        <v>326</v>
      </c>
      <c r="P55" s="139" t="s">
        <v>325</v>
      </c>
      <c r="Q55" s="147" cm="1">
        <f t="array" aca="1" ref="Q55" ca="1">IF($N55="Y",((VLOOKUP($O55,INDIRECT($N$3),Q$6,0)))*INDIRECT($N$2),(VLOOKUP($O55,INDIRECT($N$3),Q$6,0)))</f>
        <v>1.0616270748993419</v>
      </c>
      <c r="W55" s="116" t="str">
        <f>O55</f>
        <v>CEQOPC</v>
      </c>
      <c r="Y55" s="116" t="str">
        <f t="shared" si="11"/>
        <v>TL-OSHA Prot Equip C-CEQ</v>
      </c>
      <c r="Z55" s="123">
        <f t="shared" ca="1" si="11"/>
        <v>1.0616270748993419</v>
      </c>
    </row>
    <row r="56" spans="1:30" x14ac:dyDescent="0.2">
      <c r="A56" s="39"/>
      <c r="B56" s="20"/>
      <c r="C56" s="19"/>
      <c r="D56" s="19"/>
      <c r="E56" s="80"/>
      <c r="H56" s="37"/>
      <c r="I56" s="37"/>
      <c r="J56" s="37"/>
      <c r="K56" s="50"/>
      <c r="Q56" s="152"/>
    </row>
    <row r="57" spans="1:30" x14ac:dyDescent="0.2">
      <c r="A57" s="173" t="s">
        <v>426</v>
      </c>
      <c r="B57" s="174"/>
      <c r="C57" s="175"/>
      <c r="D57" s="175"/>
      <c r="E57" s="80"/>
      <c r="H57" s="37"/>
      <c r="I57" s="37"/>
      <c r="J57" s="37"/>
      <c r="K57" s="50"/>
      <c r="N57" s="192"/>
      <c r="O57" s="182"/>
      <c r="P57" s="182"/>
      <c r="Q57" s="183"/>
      <c r="W57" s="185"/>
      <c r="X57" s="186"/>
      <c r="Y57" s="185"/>
      <c r="Z57" s="187"/>
    </row>
    <row r="58" spans="1:30" x14ac:dyDescent="0.2">
      <c r="A58" s="176" t="s">
        <v>427</v>
      </c>
      <c r="B58" s="177"/>
      <c r="C58" s="178"/>
      <c r="D58" s="175"/>
      <c r="E58" s="19"/>
      <c r="F58" s="19"/>
      <c r="G58" s="19"/>
      <c r="H58" s="37"/>
      <c r="I58" s="37"/>
      <c r="J58" s="37"/>
      <c r="N58" s="192"/>
      <c r="O58" s="182"/>
      <c r="P58" s="182"/>
      <c r="Q58" s="184"/>
      <c r="W58" s="185"/>
      <c r="X58" s="186"/>
      <c r="Y58" s="185"/>
      <c r="Z58" s="186"/>
    </row>
    <row r="59" spans="1:30" x14ac:dyDescent="0.2">
      <c r="A59" s="179" t="s">
        <v>428</v>
      </c>
      <c r="B59" s="177"/>
      <c r="C59" s="177"/>
      <c r="D59" s="177"/>
      <c r="E59" s="19"/>
      <c r="F59" s="19"/>
      <c r="G59" s="19"/>
      <c r="H59" s="37"/>
      <c r="I59" s="37"/>
      <c r="J59" s="37"/>
      <c r="N59" s="192"/>
      <c r="O59" s="182"/>
      <c r="P59" s="182"/>
      <c r="Q59" s="183"/>
      <c r="W59" s="185"/>
      <c r="X59" s="186"/>
      <c r="Y59" s="185"/>
      <c r="Z59" s="187"/>
    </row>
    <row r="60" spans="1:30" x14ac:dyDescent="0.2">
      <c r="A60" s="180"/>
      <c r="B60" s="177" t="s">
        <v>10</v>
      </c>
      <c r="C60" s="181" t="s">
        <v>472</v>
      </c>
      <c r="D60" s="177"/>
      <c r="E60" s="19"/>
      <c r="F60" s="19"/>
      <c r="G60" s="19"/>
      <c r="H60" s="37"/>
      <c r="I60" s="37"/>
      <c r="J60" s="37"/>
      <c r="N60" s="192"/>
      <c r="O60" s="182"/>
      <c r="P60" s="182"/>
      <c r="Q60" s="184"/>
      <c r="W60" s="185"/>
      <c r="X60" s="186"/>
      <c r="Y60" s="185"/>
      <c r="Z60" s="186"/>
    </row>
    <row r="61" spans="1:30" x14ac:dyDescent="0.2">
      <c r="A61" s="180"/>
      <c r="B61" s="177"/>
      <c r="C61" s="181" t="s">
        <v>473</v>
      </c>
      <c r="D61" s="177"/>
      <c r="E61" s="19"/>
      <c r="F61" s="19"/>
      <c r="G61" s="19"/>
      <c r="H61" s="37"/>
      <c r="I61" s="37"/>
      <c r="J61" s="37"/>
      <c r="N61" s="192"/>
      <c r="O61" s="182"/>
      <c r="P61" s="182"/>
      <c r="Q61" s="184"/>
      <c r="W61" s="185"/>
      <c r="X61" s="186"/>
      <c r="Y61" s="185"/>
      <c r="Z61" s="186"/>
    </row>
    <row r="62" spans="1:30" x14ac:dyDescent="0.2">
      <c r="A62" s="177"/>
      <c r="B62" s="177" t="s">
        <v>186</v>
      </c>
      <c r="C62" s="181" t="s">
        <v>429</v>
      </c>
      <c r="D62" s="177"/>
      <c r="E62" s="19"/>
      <c r="F62" s="19"/>
      <c r="G62" s="19"/>
      <c r="H62" s="53"/>
      <c r="I62" s="37"/>
      <c r="J62" s="37"/>
      <c r="N62" s="192"/>
      <c r="O62" s="182"/>
      <c r="P62" s="182"/>
      <c r="Q62" s="184"/>
      <c r="W62" s="185"/>
      <c r="X62" s="186"/>
      <c r="Y62" s="185"/>
      <c r="Z62" s="186"/>
    </row>
    <row r="63" spans="1:30" x14ac:dyDescent="0.2">
      <c r="A63" s="177"/>
      <c r="B63" s="177" t="s">
        <v>187</v>
      </c>
      <c r="C63" s="181" t="s">
        <v>430</v>
      </c>
      <c r="D63" s="177"/>
      <c r="E63" s="19"/>
      <c r="F63" s="19"/>
      <c r="G63" s="19"/>
      <c r="I63" s="37"/>
      <c r="J63" s="37"/>
      <c r="K63" s="50"/>
      <c r="N63" s="192"/>
      <c r="O63" s="182"/>
      <c r="P63" s="182"/>
      <c r="Q63" s="183"/>
      <c r="W63" s="185"/>
      <c r="X63" s="186"/>
      <c r="Y63" s="185"/>
      <c r="Z63" s="187"/>
    </row>
    <row r="64" spans="1:30" x14ac:dyDescent="0.2">
      <c r="A64" s="177"/>
      <c r="B64" s="177" t="s">
        <v>188</v>
      </c>
      <c r="C64" s="181" t="s">
        <v>431</v>
      </c>
      <c r="D64" s="177"/>
      <c r="E64" s="19"/>
      <c r="F64" s="19"/>
      <c r="G64" s="19"/>
      <c r="I64" s="37"/>
      <c r="J64" s="37"/>
      <c r="K64" s="50"/>
      <c r="N64" s="192"/>
      <c r="O64" s="182"/>
      <c r="P64" s="182"/>
      <c r="Q64" s="183"/>
      <c r="W64" s="185"/>
      <c r="X64" s="186"/>
      <c r="Y64" s="185"/>
      <c r="Z64" s="187"/>
    </row>
    <row r="65" spans="1:30" x14ac:dyDescent="0.2">
      <c r="A65" s="18"/>
      <c r="B65" s="20"/>
      <c r="C65" s="19"/>
      <c r="D65" s="19"/>
      <c r="E65" s="80"/>
      <c r="F65" s="19"/>
      <c r="G65" s="19"/>
      <c r="H65" s="37"/>
      <c r="I65" s="37"/>
      <c r="J65" s="37"/>
    </row>
    <row r="66" spans="1:30" x14ac:dyDescent="0.2">
      <c r="A66" s="173" t="s">
        <v>474</v>
      </c>
      <c r="B66" s="188"/>
      <c r="C66" s="189"/>
      <c r="D66" s="19"/>
      <c r="E66" s="80"/>
      <c r="F66" s="19"/>
      <c r="G66" s="19"/>
      <c r="H66" s="37"/>
      <c r="I66"/>
      <c r="J66" s="37"/>
      <c r="K66" s="50"/>
    </row>
    <row r="67" spans="1:30" x14ac:dyDescent="0.2">
      <c r="A67" s="173" t="s">
        <v>251</v>
      </c>
      <c r="B67" s="188"/>
      <c r="C67" s="189"/>
      <c r="D67" s="19"/>
      <c r="E67" s="80"/>
      <c r="F67" s="19"/>
      <c r="G67" s="19"/>
      <c r="H67" s="37"/>
      <c r="I67"/>
      <c r="J67" s="37"/>
      <c r="K67" s="50"/>
    </row>
    <row r="68" spans="1:30" x14ac:dyDescent="0.2">
      <c r="A68" s="179" t="s">
        <v>432</v>
      </c>
      <c r="B68" s="176"/>
      <c r="C68" s="178"/>
      <c r="D68" s="19"/>
      <c r="E68" s="80"/>
      <c r="F68" s="19"/>
      <c r="G68" s="19"/>
      <c r="H68" s="37"/>
      <c r="I68" s="37"/>
      <c r="J68" s="19"/>
      <c r="Q68" s="147"/>
      <c r="R68" s="154"/>
      <c r="Z68" s="123"/>
    </row>
    <row r="69" spans="1:30" x14ac:dyDescent="0.2">
      <c r="A69" s="180"/>
      <c r="B69" s="177" t="s">
        <v>10</v>
      </c>
      <c r="C69" s="191" t="s">
        <v>470</v>
      </c>
      <c r="D69" s="19"/>
      <c r="E69" s="80"/>
      <c r="F69" s="19"/>
      <c r="G69" s="19"/>
    </row>
    <row r="70" spans="1:30" x14ac:dyDescent="0.2">
      <c r="A70" s="180"/>
      <c r="B70" s="177"/>
      <c r="C70" s="191" t="s">
        <v>471</v>
      </c>
      <c r="D70" s="19"/>
      <c r="E70" s="80"/>
      <c r="F70" s="19"/>
      <c r="G70" s="19"/>
    </row>
    <row r="71" spans="1:30" x14ac:dyDescent="0.2">
      <c r="A71" s="180"/>
      <c r="B71" s="177" t="s">
        <v>186</v>
      </c>
      <c r="C71" s="191" t="s">
        <v>433</v>
      </c>
      <c r="D71" s="19"/>
      <c r="E71" s="80"/>
      <c r="F71" s="19"/>
      <c r="G71" s="19"/>
      <c r="H71"/>
      <c r="I71"/>
      <c r="N71" s="192"/>
      <c r="O71" s="182"/>
      <c r="P71" s="182"/>
      <c r="Q71" s="183"/>
      <c r="R71" s="194"/>
      <c r="W71" s="185"/>
      <c r="X71" s="186"/>
      <c r="Y71" s="185"/>
      <c r="Z71" s="187"/>
    </row>
    <row r="72" spans="1:30" x14ac:dyDescent="0.2">
      <c r="A72"/>
      <c r="B72" s="177" t="s">
        <v>187</v>
      </c>
      <c r="C72" s="191" t="s">
        <v>434</v>
      </c>
      <c r="D72" s="19"/>
      <c r="E72" s="80"/>
      <c r="F72" s="19"/>
      <c r="G72" s="19"/>
      <c r="H72" s="58"/>
      <c r="I72" s="33"/>
      <c r="J72" s="33"/>
      <c r="N72" s="192"/>
      <c r="O72" s="182"/>
      <c r="P72" s="182"/>
      <c r="Q72" s="183"/>
      <c r="R72" s="194"/>
      <c r="W72" s="185"/>
      <c r="X72" s="186"/>
      <c r="Y72" s="185"/>
      <c r="Z72" s="187"/>
    </row>
    <row r="73" spans="1:30" x14ac:dyDescent="0.2">
      <c r="A73"/>
      <c r="B73" s="177" t="s">
        <v>188</v>
      </c>
      <c r="C73" s="191" t="s">
        <v>435</v>
      </c>
      <c r="D73" s="19"/>
      <c r="E73" s="80"/>
      <c r="F73" s="19"/>
      <c r="G73" s="19"/>
      <c r="H73" s="58"/>
      <c r="I73" s="33"/>
      <c r="J73" s="33"/>
      <c r="N73" s="192"/>
      <c r="O73" s="182"/>
      <c r="P73" s="182"/>
      <c r="Q73" s="183"/>
      <c r="R73" s="194"/>
      <c r="W73" s="185"/>
      <c r="X73" s="186"/>
      <c r="Y73" s="185"/>
      <c r="Z73" s="187"/>
    </row>
    <row r="74" spans="1:30" hidden="1" x14ac:dyDescent="0.2">
      <c r="A74" s="114"/>
      <c r="B74" s="57"/>
      <c r="C74" s="33"/>
      <c r="D74" s="33"/>
      <c r="E74" s="83"/>
      <c r="F74" s="33"/>
      <c r="G74" s="33"/>
      <c r="H74"/>
      <c r="I74"/>
      <c r="J74"/>
      <c r="K74" s="60"/>
      <c r="N74" s="192"/>
      <c r="O74" s="182"/>
      <c r="P74" s="182"/>
      <c r="Q74" s="183"/>
      <c r="R74" s="194"/>
      <c r="W74" s="185"/>
      <c r="X74" s="186"/>
      <c r="Y74" s="185"/>
      <c r="Z74" s="187"/>
    </row>
    <row r="75" spans="1:30" s="33" customFormat="1" hidden="1" x14ac:dyDescent="0.2">
      <c r="A75" s="113"/>
      <c r="B75" s="57"/>
      <c r="E75" s="83"/>
      <c r="H75"/>
      <c r="I75"/>
      <c r="J75"/>
      <c r="K75" s="34"/>
      <c r="L75" s="34"/>
      <c r="N75" s="192"/>
      <c r="O75" s="182"/>
      <c r="P75" s="182"/>
      <c r="Q75" s="183"/>
      <c r="R75" s="194"/>
      <c r="S75" s="140"/>
      <c r="T75" s="140"/>
      <c r="U75" s="140"/>
      <c r="W75" s="185"/>
      <c r="X75" s="186"/>
      <c r="Y75" s="185"/>
      <c r="Z75" s="187"/>
      <c r="AA75" s="117"/>
      <c r="AB75" s="125"/>
      <c r="AC75" s="125"/>
      <c r="AD75" s="125"/>
    </row>
    <row r="76" spans="1:30" s="33" customFormat="1" hidden="1" x14ac:dyDescent="0.2">
      <c r="A76" s="113"/>
      <c r="B76" s="57"/>
      <c r="E76" s="83"/>
      <c r="H76"/>
      <c r="I76"/>
      <c r="J76"/>
      <c r="K76" s="34"/>
      <c r="L76" s="34"/>
      <c r="N76" s="192"/>
      <c r="O76" s="182"/>
      <c r="P76" s="182"/>
      <c r="Q76" s="183"/>
      <c r="R76" s="194"/>
      <c r="S76" s="140"/>
      <c r="T76" s="140"/>
      <c r="U76" s="140"/>
      <c r="W76" s="185"/>
      <c r="X76" s="186"/>
      <c r="Y76" s="185"/>
      <c r="Z76" s="187"/>
      <c r="AA76" s="117"/>
      <c r="AB76" s="125"/>
      <c r="AC76" s="125"/>
      <c r="AD76" s="125"/>
    </row>
    <row r="77" spans="1:30" s="33" customFormat="1" x14ac:dyDescent="0.2">
      <c r="A77" s="113"/>
      <c r="B77" s="57"/>
      <c r="E77" s="83"/>
      <c r="H77"/>
      <c r="I77"/>
      <c r="J77"/>
      <c r="K77" s="34"/>
      <c r="L77" s="34"/>
      <c r="N77" s="192"/>
      <c r="O77" s="182"/>
      <c r="P77" s="182"/>
      <c r="Q77" s="183"/>
      <c r="R77" s="194"/>
      <c r="S77" s="140"/>
      <c r="T77" s="140"/>
      <c r="U77" s="140"/>
      <c r="W77" s="185"/>
      <c r="X77" s="186"/>
      <c r="Y77" s="185"/>
      <c r="Z77" s="187"/>
      <c r="AA77" s="117"/>
      <c r="AB77" s="125"/>
      <c r="AC77" s="125"/>
      <c r="AD77" s="125"/>
    </row>
    <row r="78" spans="1:30" s="5" customFormat="1" x14ac:dyDescent="0.2">
      <c r="A78" s="173" t="s">
        <v>413</v>
      </c>
      <c r="B78" s="190"/>
      <c r="C78" s="190"/>
      <c r="D78" s="190"/>
      <c r="E78" s="195"/>
      <c r="F78" s="33"/>
      <c r="G78" s="33"/>
      <c r="H78" s="55"/>
      <c r="I78" s="61"/>
      <c r="J78" s="2"/>
      <c r="K78" s="60"/>
      <c r="M78" s="2"/>
      <c r="N78" s="140"/>
      <c r="O78" s="139"/>
      <c r="P78" s="139"/>
      <c r="Q78" s="140"/>
      <c r="R78" s="140"/>
      <c r="S78" s="140"/>
      <c r="T78" s="140"/>
      <c r="U78" s="140"/>
      <c r="V78" s="2"/>
      <c r="W78" s="116"/>
      <c r="X78" s="117"/>
      <c r="Y78" s="116"/>
      <c r="Z78" s="117"/>
      <c r="AA78" s="117"/>
      <c r="AB78" s="116"/>
      <c r="AC78" s="136"/>
      <c r="AD78" s="136"/>
    </row>
    <row r="79" spans="1:30" s="5" customFormat="1" x14ac:dyDescent="0.2">
      <c r="A79" s="101" t="s">
        <v>211</v>
      </c>
      <c r="B79" s="190"/>
      <c r="C79" s="190"/>
      <c r="D79" s="190"/>
      <c r="E79" s="195"/>
      <c r="F79" s="33"/>
      <c r="G79" s="33"/>
      <c r="H79" s="55"/>
      <c r="I79" s="61"/>
      <c r="J79" s="2"/>
      <c r="K79" s="60"/>
      <c r="M79" s="2"/>
      <c r="N79" s="140"/>
      <c r="O79" s="139"/>
      <c r="P79" s="139"/>
      <c r="Q79" s="140"/>
      <c r="R79" s="140"/>
      <c r="S79" s="140"/>
      <c r="T79" s="140"/>
      <c r="U79" s="140"/>
      <c r="V79" s="2"/>
      <c r="W79" s="116"/>
      <c r="X79" s="117"/>
      <c r="Y79" s="116"/>
      <c r="Z79" s="117"/>
      <c r="AA79" s="117"/>
      <c r="AB79" s="116"/>
      <c r="AC79" s="136"/>
      <c r="AD79" s="136"/>
    </row>
    <row r="80" spans="1:30" s="5" customFormat="1" x14ac:dyDescent="0.2">
      <c r="A80" s="175" t="s">
        <v>102</v>
      </c>
      <c r="B80" s="190"/>
      <c r="C80" s="190"/>
      <c r="D80" s="190"/>
      <c r="E80" s="195"/>
      <c r="F80" s="33"/>
      <c r="G80" s="33"/>
      <c r="H80" s="55"/>
      <c r="I80" s="61"/>
      <c r="J80" s="2"/>
      <c r="K80" s="60"/>
      <c r="M80" s="2"/>
      <c r="N80" s="140"/>
      <c r="O80" s="139"/>
      <c r="P80" s="139"/>
      <c r="Q80" s="140"/>
      <c r="R80" s="140"/>
      <c r="S80" s="140"/>
      <c r="T80" s="140"/>
      <c r="U80" s="140"/>
      <c r="V80" s="2"/>
      <c r="W80" s="116"/>
      <c r="X80" s="117"/>
      <c r="Y80" s="116"/>
      <c r="Z80" s="117"/>
      <c r="AA80" s="117"/>
      <c r="AB80" s="116"/>
      <c r="AC80" s="136"/>
      <c r="AD80" s="136"/>
    </row>
    <row r="81" spans="1:35" s="5" customFormat="1" x14ac:dyDescent="0.2">
      <c r="A81" s="175" t="s">
        <v>103</v>
      </c>
      <c r="B81" s="190"/>
      <c r="C81" s="190"/>
      <c r="D81" s="190"/>
      <c r="E81" s="195"/>
      <c r="F81" s="33"/>
      <c r="G81" s="33"/>
      <c r="H81" s="55"/>
      <c r="I81" s="61"/>
      <c r="J81" s="2"/>
      <c r="K81" s="60"/>
      <c r="M81" s="2"/>
      <c r="N81" s="140"/>
      <c r="O81" s="139"/>
      <c r="P81" s="139"/>
      <c r="Q81" s="140"/>
      <c r="R81" s="140"/>
      <c r="S81" s="140"/>
      <c r="T81" s="140"/>
      <c r="U81" s="140"/>
      <c r="V81" s="2"/>
      <c r="W81" s="116"/>
      <c r="X81" s="117"/>
      <c r="Y81" s="116"/>
      <c r="Z81" s="117"/>
      <c r="AA81" s="117"/>
      <c r="AB81" s="116"/>
      <c r="AC81" s="136"/>
      <c r="AD81" s="136"/>
    </row>
    <row r="82" spans="1:35" s="5" customFormat="1" x14ac:dyDescent="0.2">
      <c r="A82" s="175" t="s">
        <v>104</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5" s="5" customFormat="1" x14ac:dyDescent="0.2">
      <c r="A83" s="175" t="s">
        <v>439</v>
      </c>
      <c r="B83" s="190"/>
      <c r="C83" s="190"/>
      <c r="D83" s="190"/>
      <c r="E83" s="195"/>
      <c r="F83" s="33"/>
      <c r="G83" s="33"/>
      <c r="H83" s="55"/>
      <c r="I83" s="61"/>
      <c r="J83" s="2"/>
      <c r="K83" s="60"/>
      <c r="M83" s="2"/>
      <c r="N83" s="162"/>
      <c r="O83" s="162"/>
      <c r="P83" s="162"/>
      <c r="Q83" s="162"/>
      <c r="R83" s="162"/>
      <c r="S83" s="162"/>
      <c r="T83" s="162"/>
      <c r="U83" s="162"/>
      <c r="W83" s="136"/>
      <c r="X83" s="136"/>
      <c r="Y83" s="136"/>
      <c r="Z83" s="136"/>
      <c r="AA83" s="117"/>
      <c r="AB83" s="116"/>
      <c r="AC83" s="136"/>
      <c r="AD83" s="136"/>
    </row>
    <row r="84" spans="1:35" s="5" customFormat="1" x14ac:dyDescent="0.2">
      <c r="A84" s="196" t="s">
        <v>294</v>
      </c>
      <c r="B84" s="175" t="str">
        <f ca="1">"If an employee shows proof of successfully passing any ten (10) of the ASE tests: "&amp;TEXT(Q84,"$#,##0.000")&amp;"/hour"</f>
        <v>If an employee shows proof of successfully passing any ten (10) of the ASE tests: $0.922/hour</v>
      </c>
      <c r="C84" s="190"/>
      <c r="D84" s="190"/>
      <c r="E84" s="195"/>
      <c r="F84" s="33"/>
      <c r="G84" s="33"/>
      <c r="H84"/>
      <c r="I84"/>
      <c r="J84"/>
      <c r="K84" s="60"/>
      <c r="M84" s="2"/>
      <c r="N84" s="140" t="s">
        <v>377</v>
      </c>
      <c r="O84" s="139" t="s">
        <v>331</v>
      </c>
      <c r="P84" s="139" t="s">
        <v>327</v>
      </c>
      <c r="Q84" s="147" cm="1">
        <f t="array" aca="1" ref="Q84" ca="1">IF($N84="Y",((VLOOKUP($O84,INDIRECT($N$3),Q$6,0)))*INDIRECT($N$2),(VLOOKUP($O84,INDIRECT($N$3),Q$6,0)))</f>
        <v>0.92223862499999987</v>
      </c>
      <c r="R84" s="140"/>
      <c r="S84" s="140"/>
      <c r="T84" s="140"/>
      <c r="U84" s="140"/>
      <c r="V84" s="2"/>
      <c r="W84" s="116" t="str">
        <f>O84</f>
        <v>CEQASA</v>
      </c>
      <c r="X84" s="117"/>
      <c r="Y84" s="116" t="str">
        <f t="shared" ref="Y84" si="12">P84</f>
        <v>ASE Certification - A</v>
      </c>
      <c r="Z84" s="123">
        <f ca="1">Q84</f>
        <v>0.92223862499999987</v>
      </c>
      <c r="AA84" s="117"/>
      <c r="AB84" s="139"/>
      <c r="AC84" s="162"/>
      <c r="AD84" s="162"/>
      <c r="AE84" s="162"/>
      <c r="AF84" s="162"/>
      <c r="AG84" s="162"/>
      <c r="AH84" s="162"/>
      <c r="AI84" s="162"/>
    </row>
    <row r="85" spans="1:35" s="5" customFormat="1" x14ac:dyDescent="0.2">
      <c r="A85" s="196" t="s">
        <v>295</v>
      </c>
      <c r="B85" s="175" t="str">
        <f ca="1">"If an employee shows proof of successfully passing any twelve (12) of the ASE tests: "&amp;TEXT(Q85,"$#,###.000")&amp;"/hour"</f>
        <v>If an employee shows proof of successfully passing any twelve (12) of the ASE tests: $1.844/hour</v>
      </c>
      <c r="C85" s="190"/>
      <c r="D85" s="190"/>
      <c r="E85" s="195"/>
      <c r="F85" s="33"/>
      <c r="G85" s="33"/>
      <c r="H85" s="55"/>
      <c r="I85" s="61"/>
      <c r="J85" s="2"/>
      <c r="K85" s="60"/>
      <c r="M85" s="2"/>
      <c r="N85" s="140" t="s">
        <v>377</v>
      </c>
      <c r="O85" s="139" t="s">
        <v>332</v>
      </c>
      <c r="P85" s="139" t="s">
        <v>328</v>
      </c>
      <c r="Q85" s="147" cm="1">
        <f t="array" aca="1" ref="Q85" ca="1">IF($N85="Y",((VLOOKUP($O85,INDIRECT($N$3),Q$6,0)))*INDIRECT($N$2),(VLOOKUP($O85,INDIRECT($N$3),Q$6,0)))</f>
        <v>1.8444772499999997</v>
      </c>
      <c r="R85" s="140"/>
      <c r="S85" s="140"/>
      <c r="T85" s="140"/>
      <c r="U85" s="140"/>
      <c r="V85" s="2"/>
      <c r="W85" s="116" t="str">
        <f>O85</f>
        <v>CEQASB</v>
      </c>
      <c r="X85" s="117"/>
      <c r="Y85" s="116" t="str">
        <f t="shared" ref="Y85:Y86" si="13">P85</f>
        <v>ASE Certification - B</v>
      </c>
      <c r="Z85" s="123">
        <f ca="1">Q85</f>
        <v>1.8444772499999997</v>
      </c>
      <c r="AA85" s="117"/>
      <c r="AB85" s="116"/>
      <c r="AC85" s="136"/>
      <c r="AD85" s="136"/>
    </row>
    <row r="86" spans="1:35" s="5" customFormat="1" x14ac:dyDescent="0.2">
      <c r="A86" s="196" t="s">
        <v>296</v>
      </c>
      <c r="B86" s="175" t="str">
        <f ca="1">"If an employee shows proof of successfully passing any fourteen (14) of the ASE tests: "&amp;TEXT(Q86,"$#,###.000")&amp;"/hour"</f>
        <v>If an employee shows proof of successfully passing any fourteen (14) of the ASE tests: $2.767/hour</v>
      </c>
      <c r="C86" s="190"/>
      <c r="D86" s="190"/>
      <c r="E86" s="195"/>
      <c r="F86" s="33"/>
      <c r="G86" s="33"/>
      <c r="H86" s="55"/>
      <c r="I86" s="61"/>
      <c r="J86" s="2"/>
      <c r="K86" s="60"/>
      <c r="M86" s="2"/>
      <c r="N86" s="140" t="s">
        <v>377</v>
      </c>
      <c r="O86" s="139" t="s">
        <v>333</v>
      </c>
      <c r="P86" s="139" t="s">
        <v>329</v>
      </c>
      <c r="Q86" s="147" cm="1">
        <f t="array" aca="1" ref="Q86" ca="1">IF($N86="Y",((VLOOKUP($O86,INDIRECT($N$3),Q$6,0)))*INDIRECT($N$2),(VLOOKUP($O86,INDIRECT($N$3),Q$6,0)))</f>
        <v>2.7667158749999996</v>
      </c>
      <c r="R86" s="140"/>
      <c r="S86" s="140"/>
      <c r="T86" s="140"/>
      <c r="U86" s="140"/>
      <c r="V86" s="2"/>
      <c r="W86" s="116" t="str">
        <f>O86</f>
        <v>CEQASC</v>
      </c>
      <c r="X86" s="117"/>
      <c r="Y86" s="116" t="str">
        <f t="shared" si="13"/>
        <v>ASE Certification - C</v>
      </c>
      <c r="Z86" s="123">
        <f ca="1">Q86</f>
        <v>2.7667158749999996</v>
      </c>
      <c r="AA86" s="117"/>
      <c r="AB86" s="116"/>
      <c r="AC86" s="136"/>
      <c r="AD86" s="136"/>
    </row>
    <row r="87" spans="1:35" s="5" customFormat="1" x14ac:dyDescent="0.2">
      <c r="A87"/>
      <c r="B87"/>
      <c r="C87"/>
      <c r="D87"/>
      <c r="E87"/>
      <c r="F87" s="33"/>
      <c r="G87" s="33"/>
      <c r="H87" s="37"/>
      <c r="I87" s="61"/>
      <c r="J87" s="2"/>
      <c r="K87" s="60"/>
      <c r="M87" s="2"/>
      <c r="N87" s="162"/>
      <c r="O87" s="162"/>
      <c r="P87" s="162"/>
      <c r="Q87" s="162"/>
      <c r="R87" s="162"/>
      <c r="S87" s="162"/>
      <c r="T87" s="162"/>
      <c r="U87" s="162"/>
      <c r="W87" s="136"/>
      <c r="X87" s="136"/>
      <c r="Y87" s="136"/>
      <c r="Z87" s="136"/>
      <c r="AA87" s="117"/>
      <c r="AB87" s="116"/>
      <c r="AC87" s="136"/>
      <c r="AD87" s="136"/>
    </row>
    <row r="88" spans="1:35" s="5" customFormat="1" x14ac:dyDescent="0.2">
      <c r="A88"/>
      <c r="B88" s="197"/>
      <c r="C88" s="176" t="s">
        <v>116</v>
      </c>
      <c r="D88" s="175"/>
      <c r="E88" s="175" t="s">
        <v>117</v>
      </c>
      <c r="F88" s="19"/>
      <c r="H88" s="37"/>
      <c r="I88" s="37"/>
      <c r="J88" s="37"/>
      <c r="M88" s="2"/>
      <c r="N88" s="162"/>
      <c r="O88" s="162"/>
      <c r="P88" s="162"/>
      <c r="Q88" s="162"/>
      <c r="R88" s="162"/>
      <c r="S88" s="162"/>
      <c r="T88" s="162"/>
      <c r="U88" s="162"/>
      <c r="W88" s="136"/>
      <c r="X88" s="136"/>
      <c r="Y88" s="136"/>
      <c r="Z88" s="136"/>
      <c r="AA88" s="117"/>
      <c r="AB88" s="116"/>
      <c r="AC88" s="136"/>
      <c r="AD88" s="136"/>
    </row>
    <row r="89" spans="1:35" s="5" customFormat="1" x14ac:dyDescent="0.2">
      <c r="A89"/>
      <c r="B89" s="197"/>
      <c r="C89" s="176" t="s">
        <v>118</v>
      </c>
      <c r="D89" s="175"/>
      <c r="E89" s="175" t="s">
        <v>119</v>
      </c>
      <c r="F89" s="19"/>
      <c r="H89" s="37"/>
      <c r="I89" s="37"/>
      <c r="J89" s="37"/>
      <c r="M89" s="2"/>
      <c r="N89" s="140" t="s">
        <v>377</v>
      </c>
      <c r="O89" s="139" t="s">
        <v>455</v>
      </c>
      <c r="P89" s="251" t="s">
        <v>476</v>
      </c>
      <c r="Q89" s="147" cm="1">
        <f t="array" aca="1" ref="Q89" ca="1">IF($N89="Y",((VLOOKUP($O89,INDIRECT($N$3),Q$6,0)))*INDIRECT($N$2),(VLOOKUP($O89,INDIRECT($N$3),Q$6,0)))</f>
        <v>0.92244874999999982</v>
      </c>
      <c r="R89" s="140"/>
      <c r="S89" s="140"/>
      <c r="T89" s="140"/>
      <c r="U89" s="140"/>
      <c r="V89" s="2"/>
      <c r="W89" s="116" t="s">
        <v>455</v>
      </c>
      <c r="X89" s="117"/>
      <c r="Y89" s="250" t="s">
        <v>476</v>
      </c>
      <c r="Z89" s="123">
        <f t="shared" ref="Z89:Z91" ca="1" si="14">Q89</f>
        <v>0.92244874999999982</v>
      </c>
      <c r="AA89" s="117"/>
      <c r="AB89" s="139"/>
      <c r="AC89" s="162"/>
      <c r="AD89" s="162"/>
      <c r="AE89" s="162"/>
      <c r="AF89" s="162"/>
      <c r="AG89" s="162"/>
      <c r="AH89" s="162"/>
      <c r="AI89" s="162"/>
    </row>
    <row r="90" spans="1:35" s="5" customFormat="1" x14ac:dyDescent="0.2">
      <c r="A90"/>
      <c r="B90" s="197"/>
      <c r="C90" s="176" t="s">
        <v>120</v>
      </c>
      <c r="D90" s="175"/>
      <c r="E90" s="175" t="s">
        <v>121</v>
      </c>
      <c r="F90" s="19"/>
      <c r="H90" s="37"/>
      <c r="I90" s="37"/>
      <c r="J90" s="37"/>
      <c r="M90" s="2"/>
      <c r="N90" s="140" t="s">
        <v>377</v>
      </c>
      <c r="O90" s="139" t="s">
        <v>456</v>
      </c>
      <c r="P90" s="251" t="s">
        <v>459</v>
      </c>
      <c r="Q90" s="147" cm="1">
        <f t="array" aca="1" ref="Q90" ca="1">IF($N90="Y",((VLOOKUP($O90,INDIRECT($N$3),Q$6,0)))*INDIRECT($N$2),(VLOOKUP($O90,INDIRECT($N$3),Q$6,0)))</f>
        <v>1.8444772499999997</v>
      </c>
      <c r="R90" s="140"/>
      <c r="S90" s="140"/>
      <c r="T90" s="140"/>
      <c r="U90" s="140"/>
      <c r="V90" s="2"/>
      <c r="W90" s="116" t="s">
        <v>456</v>
      </c>
      <c r="X90" s="117"/>
      <c r="Y90" s="250" t="s">
        <v>459</v>
      </c>
      <c r="Z90" s="123">
        <f t="shared" ca="1" si="14"/>
        <v>1.8444772499999997</v>
      </c>
      <c r="AA90" s="117"/>
      <c r="AB90" s="116"/>
      <c r="AC90" s="136"/>
      <c r="AD90" s="136"/>
    </row>
    <row r="91" spans="1:35" s="5" customFormat="1" x14ac:dyDescent="0.2">
      <c r="A91"/>
      <c r="B91" s="197"/>
      <c r="C91" s="176" t="s">
        <v>122</v>
      </c>
      <c r="D91" s="175"/>
      <c r="E91" s="175" t="s">
        <v>123</v>
      </c>
      <c r="F91" s="19"/>
      <c r="H91" s="37"/>
      <c r="I91" s="37"/>
      <c r="J91" s="37"/>
      <c r="M91" s="2"/>
      <c r="N91" s="140" t="s">
        <v>377</v>
      </c>
      <c r="O91" s="139" t="s">
        <v>457</v>
      </c>
      <c r="P91" s="251" t="s">
        <v>475</v>
      </c>
      <c r="Q91" s="147" cm="1">
        <f t="array" aca="1" ref="Q91" ca="1">IF($N91="Y",((VLOOKUP($O91,INDIRECT($N$3),Q$6,0)))*INDIRECT($N$2),(VLOOKUP($O91,INDIRECT($N$3),Q$6,0)))</f>
        <v>2.7662956249999997</v>
      </c>
      <c r="R91" s="140"/>
      <c r="S91" s="140"/>
      <c r="T91" s="140"/>
      <c r="U91" s="140"/>
      <c r="V91" s="2"/>
      <c r="W91" s="116" t="s">
        <v>457</v>
      </c>
      <c r="X91" s="117"/>
      <c r="Y91" s="250" t="s">
        <v>475</v>
      </c>
      <c r="Z91" s="123">
        <f t="shared" ca="1" si="14"/>
        <v>2.7662956249999997</v>
      </c>
      <c r="AA91" s="117"/>
      <c r="AB91" s="116"/>
      <c r="AC91" s="136"/>
      <c r="AD91" s="136"/>
    </row>
    <row r="92" spans="1:35" s="5" customFormat="1" x14ac:dyDescent="0.2">
      <c r="A92"/>
      <c r="B92" s="197"/>
      <c r="C92" s="176" t="s">
        <v>124</v>
      </c>
      <c r="D92" s="175"/>
      <c r="E92" s="175" t="s">
        <v>125</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5" s="5" customFormat="1" x14ac:dyDescent="0.2">
      <c r="A93"/>
      <c r="B93" s="197"/>
      <c r="C93" s="176" t="s">
        <v>126</v>
      </c>
      <c r="D93" s="175"/>
      <c r="E93" s="175" t="s">
        <v>127</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5" s="5" customFormat="1" x14ac:dyDescent="0.2">
      <c r="A94"/>
      <c r="B94" s="197"/>
      <c r="C94" s="175" t="s">
        <v>128</v>
      </c>
      <c r="D94" s="175"/>
      <c r="E94" s="175" t="s">
        <v>129</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5" s="5" customFormat="1" x14ac:dyDescent="0.2">
      <c r="A95"/>
      <c r="B95" s="197"/>
      <c r="C95" s="175" t="s">
        <v>130</v>
      </c>
      <c r="D95" s="175"/>
      <c r="E95" s="175" t="s">
        <v>131</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5" s="5" customFormat="1" x14ac:dyDescent="0.2">
      <c r="A96"/>
      <c r="B96" s="197"/>
      <c r="C96" s="175"/>
      <c r="D96" s="175"/>
      <c r="E96" s="175"/>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5" t="s">
        <v>132</v>
      </c>
      <c r="D97" s="175"/>
      <c r="E97" s="175" t="s">
        <v>133</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t="s">
        <v>134</v>
      </c>
      <c r="D98" s="175"/>
      <c r="E98" s="175" t="s">
        <v>135</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136</v>
      </c>
      <c r="D99" s="175"/>
      <c r="E99" s="175" t="s">
        <v>137</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78"/>
      <c r="C100" s="175"/>
      <c r="D100" s="175"/>
      <c r="E100" s="175" t="s">
        <v>138</v>
      </c>
      <c r="F100" s="41"/>
      <c r="G100" s="41"/>
      <c r="H100" s="63"/>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78"/>
      <c r="C101" s="175"/>
      <c r="D101" s="175"/>
      <c r="E101" s="175"/>
      <c r="F101" s="41"/>
      <c r="G101" s="41"/>
      <c r="H101" s="63"/>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80" t="s">
        <v>285</v>
      </c>
      <c r="C102" s="175" t="s">
        <v>286</v>
      </c>
      <c r="D102" s="197"/>
      <c r="E102" s="198"/>
      <c r="F102" s="41"/>
      <c r="G102" s="41"/>
      <c r="H102" s="63"/>
      <c r="I102" s="63"/>
      <c r="J102" s="63"/>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80" t="s">
        <v>285</v>
      </c>
      <c r="C103" s="175" t="s">
        <v>287</v>
      </c>
      <c r="D103" s="197"/>
      <c r="E103" s="198"/>
      <c r="F103" s="41"/>
      <c r="G103" s="41"/>
      <c r="H103" s="63"/>
      <c r="I103" s="63"/>
      <c r="J103" s="63"/>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80"/>
      <c r="C104" s="175" t="s">
        <v>141</v>
      </c>
      <c r="D104" s="197"/>
      <c r="E104" s="198"/>
      <c r="F104" s="41"/>
      <c r="G104" s="41"/>
      <c r="H104" s="63"/>
      <c r="I104" s="63"/>
      <c r="J104" s="63"/>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80" t="s">
        <v>285</v>
      </c>
      <c r="C105" s="175" t="s">
        <v>288</v>
      </c>
      <c r="D105" s="197"/>
      <c r="E105" s="198"/>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t="s">
        <v>285</v>
      </c>
      <c r="C106" s="175" t="s">
        <v>289</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290</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t="s">
        <v>285</v>
      </c>
      <c r="C108" s="175" t="s">
        <v>440</v>
      </c>
      <c r="D108" s="197"/>
      <c r="E108" s="198"/>
      <c r="F108" s="19"/>
      <c r="G108" s="19"/>
      <c r="H108" s="37"/>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292</v>
      </c>
      <c r="D109" s="197"/>
      <c r="E109" s="199"/>
      <c r="F109" s="19"/>
      <c r="G109" s="19"/>
      <c r="H109" s="37"/>
      <c r="I109" s="37"/>
      <c r="J109" s="37"/>
      <c r="M109" s="2"/>
      <c r="N109" s="140"/>
      <c r="O109" s="139"/>
      <c r="P109" s="139"/>
      <c r="Q109" s="140"/>
      <c r="R109" s="140"/>
      <c r="S109" s="140"/>
      <c r="T109" s="140"/>
      <c r="U109" s="140"/>
      <c r="V109" s="2"/>
      <c r="W109" s="116"/>
      <c r="X109" s="117"/>
      <c r="Y109" s="116"/>
      <c r="Z109" s="117"/>
      <c r="AA109" s="117"/>
      <c r="AB109" s="116"/>
      <c r="AC109" s="136"/>
      <c r="AD109" s="136"/>
    </row>
    <row r="110" spans="1:30" x14ac:dyDescent="0.2">
      <c r="B110" s="33"/>
      <c r="C110" s="33"/>
      <c r="D110" s="19"/>
      <c r="E110" s="80"/>
      <c r="F110" s="19"/>
      <c r="G110" s="19"/>
      <c r="H110" s="37"/>
      <c r="I110" s="37"/>
      <c r="J110" s="37"/>
      <c r="Q110" s="147"/>
    </row>
    <row r="111" spans="1:30" x14ac:dyDescent="0.2">
      <c r="A111" s="43" t="s">
        <v>147</v>
      </c>
      <c r="D111" s="33"/>
      <c r="E111" s="83"/>
      <c r="F111" s="33"/>
      <c r="G111" s="33"/>
      <c r="H111" s="33"/>
      <c r="I111" s="33"/>
      <c r="J111" s="33"/>
      <c r="Q111" s="147"/>
    </row>
    <row r="112" spans="1:30" s="33" customFormat="1" x14ac:dyDescent="0.2">
      <c r="A112" s="19" t="str">
        <f ca="1">"Automotive Mechanics regularly assigned and working on an 'outside truck' shall be paid a premium of  "&amp;TEXT(Q112,"$0.000")&amp;" per hour on all compensated"</f>
        <v>Automotive Mechanics regularly assigned and working on an 'outside truck' shall be paid a premium of  $1.180 per hour on all compensated</v>
      </c>
      <c r="B112" s="20"/>
      <c r="C112" s="19"/>
      <c r="D112" s="19"/>
      <c r="E112" s="80"/>
      <c r="F112" s="19"/>
      <c r="G112" s="19"/>
      <c r="H112" s="2"/>
      <c r="I112"/>
      <c r="J112"/>
      <c r="K112" s="45"/>
      <c r="L112" s="34"/>
      <c r="N112" s="140" t="s">
        <v>377</v>
      </c>
      <c r="O112" s="151" t="s">
        <v>353</v>
      </c>
      <c r="P112" s="151" t="s">
        <v>354</v>
      </c>
      <c r="Q112" s="147" cm="1">
        <f t="array" aca="1" ref="Q112" ca="1">IF($N112="Y",((VLOOKUP($O112,INDIRECT($N$3),Q$6,0)))*INDIRECT($N$2),(VLOOKUP($O112,INDIRECT($N$3),Q$6,0)))</f>
        <v>1.1801530316657804</v>
      </c>
      <c r="R112" s="140"/>
      <c r="S112" s="140"/>
      <c r="T112" s="140"/>
      <c r="U112" s="140"/>
      <c r="W112" s="116" t="str">
        <f>O112</f>
        <v>CEQOTR</v>
      </c>
      <c r="X112" s="117"/>
      <c r="Y112" s="116" t="str">
        <f>P112</f>
        <v>TL-Outside Truck Premium-CEQ</v>
      </c>
      <c r="Z112" s="123">
        <f ca="1">Q112</f>
        <v>1.1801530316657804</v>
      </c>
      <c r="AA112" s="117"/>
      <c r="AB112" s="125"/>
      <c r="AC112" s="125"/>
      <c r="AD112" s="125"/>
    </row>
    <row r="113" spans="1:30" x14ac:dyDescent="0.2">
      <c r="A113" s="19" t="str">
        <f ca="1">"hours. Automotive Mechanics temporarily assigned on an 'outside truck' shall be paid a premium of "&amp;TEXT(Q112,"$0.000")&amp;" per hour for hours worked."</f>
        <v>hours. Automotive Mechanics temporarily assigned on an 'outside truck' shall be paid a premium of $1.180 per hour for hours worked.</v>
      </c>
      <c r="B113" s="20"/>
      <c r="C113" s="19"/>
      <c r="D113" s="19"/>
      <c r="E113" s="80"/>
      <c r="F113" s="19"/>
      <c r="G113" s="19"/>
      <c r="I113"/>
      <c r="J113"/>
      <c r="Q113" s="147"/>
    </row>
    <row r="114" spans="1:30" s="33" customFormat="1" x14ac:dyDescent="0.2">
      <c r="A114" s="39"/>
      <c r="E114" s="83"/>
      <c r="K114" s="45"/>
      <c r="L114" s="34"/>
      <c r="N114" s="140"/>
      <c r="O114" s="151"/>
      <c r="P114" s="151"/>
      <c r="Q114" s="147"/>
      <c r="R114" s="140"/>
      <c r="S114" s="140"/>
      <c r="T114" s="140"/>
      <c r="U114" s="140"/>
      <c r="W114" s="125"/>
      <c r="X114" s="117"/>
      <c r="Y114" s="125"/>
      <c r="Z114" s="117"/>
      <c r="AA114" s="117"/>
      <c r="AB114" s="125"/>
      <c r="AC114" s="125"/>
      <c r="AD114" s="125"/>
    </row>
    <row r="115" spans="1:30" s="33" customFormat="1" x14ac:dyDescent="0.2">
      <c r="A115" s="43" t="s">
        <v>153</v>
      </c>
      <c r="B115" s="20"/>
      <c r="C115" s="19"/>
      <c r="D115" s="19"/>
      <c r="E115" s="80"/>
      <c r="F115" s="19"/>
      <c r="G115" s="19"/>
      <c r="H115" s="37"/>
      <c r="I115" s="37"/>
      <c r="J115" s="37"/>
      <c r="K115" s="45"/>
      <c r="L115" s="34"/>
      <c r="N115" s="140"/>
      <c r="O115" s="151"/>
      <c r="P115" s="151"/>
      <c r="Q115" s="147"/>
      <c r="R115" s="140"/>
      <c r="S115" s="140"/>
      <c r="T115" s="140"/>
      <c r="U115" s="140"/>
      <c r="W115" s="125"/>
      <c r="X115" s="117"/>
      <c r="Y115" s="125"/>
      <c r="Z115" s="117"/>
      <c r="AA115" s="117"/>
      <c r="AB115" s="125"/>
      <c r="AC115" s="125"/>
      <c r="AD115" s="125"/>
    </row>
    <row r="116" spans="1:30" x14ac:dyDescent="0.2">
      <c r="A116" s="33" t="s">
        <v>154</v>
      </c>
      <c r="B116" s="20"/>
      <c r="C116" s="19"/>
      <c r="D116" s="19"/>
      <c r="E116" s="80"/>
      <c r="F116" s="19"/>
      <c r="G116" s="19"/>
      <c r="H116" s="37"/>
      <c r="I116" s="37"/>
      <c r="J116" s="37"/>
      <c r="Q116" s="147"/>
    </row>
    <row r="117" spans="1:30" x14ac:dyDescent="0.2">
      <c r="A117" s="109" t="str">
        <f ca="1">TEXT(Q117,"$0.000")&amp;" per hour for all hours worked where a 'spotter' or a harness  is required to perform the job in a safe manner."</f>
        <v>$0.568 per hour for all hours worked where a 'spotter' or a harness  is required to perform the job in a safe manner.</v>
      </c>
      <c r="B117" s="66"/>
      <c r="C117" s="33"/>
      <c r="D117" s="33"/>
      <c r="E117" s="83"/>
      <c r="F117" s="33"/>
      <c r="G117" s="33"/>
      <c r="H117" s="33"/>
      <c r="I117" s="33"/>
      <c r="J117" s="37"/>
      <c r="N117" s="140" t="s">
        <v>377</v>
      </c>
      <c r="O117" s="139" t="s">
        <v>355</v>
      </c>
      <c r="P117" s="139" t="s">
        <v>356</v>
      </c>
      <c r="Q117" s="147" cm="1">
        <f t="array" aca="1" ref="Q117" ca="1">IF($N117="Y",((VLOOKUP($O117,INDIRECT($N$3),Q$6,0)))*INDIRECT($N$2),(VLOOKUP($O117,INDIRECT($N$3),Q$6,0)))</f>
        <v>0.56783156781538058</v>
      </c>
      <c r="W117" s="116" t="str">
        <f>O117</f>
        <v>CEQCNF</v>
      </c>
      <c r="Y117" s="116" t="str">
        <f>P117</f>
        <v>TL-Confined Space Entry-CEQ</v>
      </c>
      <c r="Z117" s="123">
        <f ca="1">Q117</f>
        <v>0.56783156781538058</v>
      </c>
    </row>
    <row r="118" spans="1:30" x14ac:dyDescent="0.2">
      <c r="A118" s="39" t="s">
        <v>156</v>
      </c>
      <c r="B118" s="33"/>
      <c r="C118" s="33"/>
      <c r="D118" s="33"/>
      <c r="E118" s="83"/>
      <c r="F118" s="33"/>
      <c r="G118" s="33"/>
      <c r="H118" s="33"/>
      <c r="I118" s="33"/>
      <c r="J118" s="33"/>
      <c r="Q118" s="147"/>
    </row>
    <row r="119" spans="1:30" s="33" customFormat="1" x14ac:dyDescent="0.2">
      <c r="A119" s="39" t="s">
        <v>157</v>
      </c>
      <c r="E119" s="83"/>
      <c r="K119" s="34"/>
      <c r="L119" s="34"/>
      <c r="N119" s="140"/>
      <c r="O119" s="151"/>
      <c r="P119" s="151"/>
      <c r="Q119" s="147"/>
      <c r="R119" s="140"/>
      <c r="S119" s="140"/>
      <c r="T119" s="140"/>
      <c r="U119" s="140"/>
      <c r="W119" s="125"/>
      <c r="X119" s="117"/>
      <c r="Y119" s="125"/>
      <c r="Z119" s="117"/>
      <c r="AA119" s="117"/>
      <c r="AB119" s="125"/>
      <c r="AC119" s="125"/>
      <c r="AD119" s="125"/>
    </row>
    <row r="120" spans="1:30" s="33" customFormat="1" x14ac:dyDescent="0.2">
      <c r="A120" s="39"/>
      <c r="B120" s="66"/>
      <c r="C120" s="66"/>
      <c r="E120" s="83"/>
      <c r="K120" s="45"/>
      <c r="L120" s="34"/>
      <c r="N120" s="140"/>
      <c r="O120" s="151"/>
      <c r="P120" s="151"/>
      <c r="Q120" s="147"/>
      <c r="R120" s="140"/>
      <c r="S120" s="140"/>
      <c r="T120" s="140"/>
      <c r="U120" s="140"/>
      <c r="W120" s="125"/>
      <c r="X120" s="117"/>
      <c r="Y120" s="125"/>
      <c r="Z120" s="117"/>
      <c r="AA120" s="117"/>
      <c r="AB120" s="125"/>
      <c r="AC120" s="125"/>
      <c r="AD120" s="125"/>
    </row>
    <row r="121" spans="1:30" s="33" customFormat="1" x14ac:dyDescent="0.2">
      <c r="A121" s="43" t="s">
        <v>158</v>
      </c>
      <c r="B121" s="44"/>
      <c r="E121" s="83"/>
      <c r="K121" s="34"/>
      <c r="L121" s="34"/>
      <c r="N121" s="140"/>
      <c r="O121" s="151"/>
      <c r="P121" s="151"/>
      <c r="Q121" s="147"/>
      <c r="R121" s="140"/>
      <c r="S121" s="140"/>
      <c r="T121" s="140"/>
      <c r="U121" s="140"/>
      <c r="W121" s="125"/>
      <c r="X121" s="117"/>
      <c r="Y121" s="125"/>
      <c r="Z121" s="117"/>
      <c r="AA121" s="117"/>
      <c r="AB121" s="125"/>
      <c r="AC121" s="125"/>
      <c r="AD121" s="125"/>
    </row>
    <row r="122" spans="1:30" s="33" customFormat="1" x14ac:dyDescent="0.2">
      <c r="A122" s="33" t="s">
        <v>159</v>
      </c>
      <c r="B122" s="20"/>
      <c r="C122" s="68"/>
      <c r="D122" s="19"/>
      <c r="E122" s="80"/>
      <c r="F122" s="19"/>
      <c r="G122" s="19"/>
      <c r="I122" s="37"/>
      <c r="J122" s="37"/>
      <c r="K122" s="34"/>
      <c r="L122" s="34"/>
      <c r="N122" s="140"/>
      <c r="O122" s="151"/>
      <c r="P122" s="151"/>
      <c r="Q122" s="147"/>
      <c r="R122" s="140"/>
      <c r="S122" s="140"/>
      <c r="T122" s="140"/>
      <c r="U122" s="140"/>
      <c r="W122" s="125"/>
      <c r="X122" s="117"/>
      <c r="Y122" s="125"/>
      <c r="Z122" s="117"/>
      <c r="AA122" s="117"/>
      <c r="AB122" s="125"/>
      <c r="AC122" s="125"/>
      <c r="AD122" s="125"/>
    </row>
    <row r="123" spans="1:30" s="4" customFormat="1" x14ac:dyDescent="0.2">
      <c r="A123" s="111" t="s">
        <v>306</v>
      </c>
      <c r="B123" s="2" t="s">
        <v>309</v>
      </c>
      <c r="C123" s="2"/>
      <c r="D123" s="19"/>
      <c r="E123" s="80"/>
      <c r="F123" s="19"/>
      <c r="G123" s="19"/>
      <c r="H123" s="37"/>
      <c r="I123" s="37"/>
      <c r="J123" s="37"/>
      <c r="K123" s="5"/>
      <c r="L123" s="5"/>
      <c r="M123" s="2"/>
      <c r="N123" s="140"/>
      <c r="O123" s="139"/>
      <c r="P123" s="139"/>
      <c r="Q123" s="147"/>
      <c r="R123" s="140"/>
      <c r="S123" s="140"/>
      <c r="T123" s="140"/>
      <c r="U123" s="140"/>
      <c r="V123" s="2"/>
      <c r="W123" s="116"/>
      <c r="X123" s="117"/>
      <c r="Y123" s="116"/>
      <c r="Z123" s="117"/>
      <c r="AA123" s="117"/>
      <c r="AB123" s="116"/>
      <c r="AC123" s="116"/>
      <c r="AD123" s="116"/>
    </row>
    <row r="124" spans="1:30" s="4" customFormat="1" x14ac:dyDescent="0.2">
      <c r="A124" s="111" t="s">
        <v>307</v>
      </c>
      <c r="B124" s="2" t="s">
        <v>310</v>
      </c>
      <c r="C124" s="2"/>
      <c r="D124" s="41"/>
      <c r="E124" s="85"/>
      <c r="F124" s="41"/>
      <c r="G124" s="41"/>
      <c r="H124" s="63"/>
      <c r="I124" s="63"/>
      <c r="J124" s="63"/>
      <c r="K124" s="5"/>
      <c r="L124" s="5"/>
      <c r="M124" s="2"/>
      <c r="N124" s="140"/>
      <c r="O124" s="139"/>
      <c r="P124" s="139"/>
      <c r="Q124" s="147"/>
      <c r="R124" s="140"/>
      <c r="S124" s="140"/>
      <c r="T124" s="140"/>
      <c r="U124" s="140"/>
      <c r="V124" s="2"/>
      <c r="W124" s="116"/>
      <c r="X124" s="117"/>
      <c r="Y124" s="116"/>
      <c r="Z124" s="117"/>
      <c r="AA124" s="117"/>
      <c r="AB124" s="116"/>
      <c r="AC124" s="116"/>
      <c r="AD124" s="116"/>
    </row>
    <row r="125" spans="1:30" s="4" customFormat="1" x14ac:dyDescent="0.2">
      <c r="A125" s="111" t="s">
        <v>308</v>
      </c>
      <c r="B125" s="2" t="s">
        <v>311</v>
      </c>
      <c r="C125" s="2"/>
      <c r="D125" s="41"/>
      <c r="E125" s="85"/>
      <c r="F125" s="41"/>
      <c r="G125" s="41"/>
      <c r="H125" s="63"/>
      <c r="I125" s="63"/>
      <c r="J125" s="63"/>
      <c r="K125" s="5"/>
      <c r="L125" s="5"/>
      <c r="M125" s="2"/>
      <c r="N125" s="140"/>
      <c r="O125" s="139"/>
      <c r="P125" s="139"/>
      <c r="Q125" s="147"/>
      <c r="R125" s="140"/>
      <c r="S125" s="140"/>
      <c r="T125" s="140"/>
      <c r="U125" s="140"/>
      <c r="V125" s="2"/>
      <c r="W125" s="116"/>
      <c r="X125" s="117"/>
      <c r="Y125" s="116"/>
      <c r="Z125" s="117"/>
      <c r="AA125" s="117"/>
      <c r="AB125" s="116"/>
      <c r="AC125" s="116"/>
      <c r="AD125" s="116"/>
    </row>
    <row r="126" spans="1:30" s="4" customFormat="1" x14ac:dyDescent="0.2">
      <c r="A126" s="111" t="s">
        <v>315</v>
      </c>
      <c r="B126" s="2" t="s">
        <v>312</v>
      </c>
      <c r="C126" s="2"/>
      <c r="D126" s="41"/>
      <c r="E126" s="85"/>
      <c r="F126" s="41"/>
      <c r="G126" s="41"/>
      <c r="H126" s="63"/>
      <c r="I126" s="63"/>
      <c r="J126" s="63"/>
      <c r="K126" s="5"/>
      <c r="L126" s="5"/>
      <c r="M126" s="2"/>
      <c r="N126" s="140"/>
      <c r="O126" s="139"/>
      <c r="P126" s="139"/>
      <c r="Q126" s="147"/>
      <c r="R126" s="140"/>
      <c r="S126" s="140"/>
      <c r="T126" s="140"/>
      <c r="U126" s="140"/>
      <c r="V126" s="2"/>
      <c r="W126" s="116"/>
      <c r="X126" s="117"/>
      <c r="Y126" s="116"/>
      <c r="Z126" s="117"/>
      <c r="AA126" s="117"/>
      <c r="AB126" s="116"/>
      <c r="AC126" s="116"/>
      <c r="AD126" s="116"/>
    </row>
    <row r="127" spans="1:30" s="4" customFormat="1" x14ac:dyDescent="0.2">
      <c r="A127" s="111" t="s">
        <v>316</v>
      </c>
      <c r="B127" s="2" t="s">
        <v>313</v>
      </c>
      <c r="C127" s="2"/>
      <c r="D127" s="41"/>
      <c r="E127" s="85"/>
      <c r="F127" s="41"/>
      <c r="G127" s="41"/>
      <c r="H127" s="63"/>
      <c r="I127" s="63"/>
      <c r="J127" s="63"/>
      <c r="K127" s="5"/>
      <c r="L127" s="5"/>
      <c r="M127" s="2"/>
      <c r="N127" s="140"/>
      <c r="O127" s="139"/>
      <c r="P127" s="139"/>
      <c r="Q127" s="147"/>
      <c r="R127" s="140"/>
      <c r="S127" s="140"/>
      <c r="T127" s="140"/>
      <c r="U127" s="140"/>
      <c r="V127" s="2"/>
      <c r="W127" s="116"/>
      <c r="X127" s="117"/>
      <c r="Y127" s="116"/>
      <c r="Z127" s="117"/>
      <c r="AA127" s="117"/>
      <c r="AB127" s="116"/>
      <c r="AC127" s="116"/>
      <c r="AD127" s="116"/>
    </row>
    <row r="128" spans="1:30" s="4" customFormat="1" x14ac:dyDescent="0.2">
      <c r="A128" s="112" t="s">
        <v>317</v>
      </c>
      <c r="B128" s="2" t="s">
        <v>314</v>
      </c>
      <c r="C128" s="2"/>
      <c r="D128" s="41"/>
      <c r="E128" s="85"/>
      <c r="F128" s="41"/>
      <c r="G128" s="41"/>
      <c r="H128" s="63"/>
      <c r="I128" s="63"/>
      <c r="J128" s="63"/>
      <c r="K128" s="5"/>
      <c r="L128" s="5"/>
      <c r="M128" s="2"/>
      <c r="N128" s="140"/>
      <c r="O128" s="139"/>
      <c r="P128" s="139"/>
      <c r="Q128" s="147"/>
      <c r="R128" s="140"/>
      <c r="S128" s="140"/>
      <c r="T128" s="140"/>
      <c r="U128" s="140"/>
      <c r="V128" s="2"/>
      <c r="W128" s="116"/>
      <c r="X128" s="117"/>
      <c r="Y128" s="116"/>
      <c r="Z128" s="117"/>
      <c r="AA128" s="117"/>
      <c r="AB128" s="116"/>
      <c r="AC128" s="116"/>
      <c r="AD128" s="116"/>
    </row>
    <row r="129" spans="1:30" s="4" customFormat="1" x14ac:dyDescent="0.2">
      <c r="A129" s="19"/>
      <c r="B129" s="69"/>
      <c r="C129" s="41"/>
      <c r="D129" s="41"/>
      <c r="E129" s="85"/>
      <c r="F129" s="41"/>
      <c r="G129" s="41"/>
      <c r="H129" s="63"/>
      <c r="I129" s="63"/>
      <c r="J129" s="63"/>
      <c r="K129" s="5"/>
      <c r="L129" s="5"/>
      <c r="M129" s="2"/>
      <c r="N129" s="140"/>
      <c r="O129" s="139"/>
      <c r="P129" s="139"/>
      <c r="Q129" s="147"/>
      <c r="R129" s="140"/>
      <c r="S129" s="140"/>
      <c r="T129" s="140"/>
      <c r="U129" s="140"/>
      <c r="V129" s="2"/>
      <c r="W129" s="116"/>
      <c r="X129" s="117"/>
      <c r="Y129" s="116"/>
      <c r="Z129" s="117"/>
      <c r="AA129" s="117"/>
      <c r="AB129" s="116"/>
      <c r="AC129" s="116"/>
      <c r="AD129" s="116"/>
    </row>
    <row r="130" spans="1:30" s="4" customFormat="1" x14ac:dyDescent="0.2">
      <c r="A130" s="70" t="s">
        <v>408</v>
      </c>
      <c r="B130" s="69"/>
      <c r="C130" s="41"/>
      <c r="D130" s="41"/>
      <c r="E130" s="85"/>
      <c r="F130" s="41"/>
      <c r="G130" s="41"/>
      <c r="H130" s="63"/>
      <c r="I130" s="63"/>
      <c r="J130" s="63"/>
      <c r="K130" s="5"/>
      <c r="L130" s="5"/>
      <c r="M130" s="2"/>
      <c r="N130" s="140"/>
      <c r="O130" s="139"/>
      <c r="P130" s="139"/>
      <c r="Q130" s="147"/>
      <c r="R130" s="140"/>
      <c r="S130" s="140"/>
      <c r="T130" s="140"/>
      <c r="U130" s="140"/>
      <c r="V130" s="2"/>
      <c r="W130" s="116"/>
      <c r="X130" s="117"/>
      <c r="Y130" s="116"/>
      <c r="Z130" s="117"/>
      <c r="AA130" s="117"/>
      <c r="AB130" s="116"/>
      <c r="AC130" s="116"/>
      <c r="AD130" s="116"/>
    </row>
    <row r="131" spans="1:30" s="4" customFormat="1" x14ac:dyDescent="0.2">
      <c r="A131" s="39" t="s">
        <v>167</v>
      </c>
      <c r="B131" s="69"/>
      <c r="C131" s="41"/>
      <c r="D131" s="41"/>
      <c r="E131" s="85"/>
      <c r="F131" s="41"/>
      <c r="G131" s="41"/>
      <c r="H131" s="37"/>
      <c r="I131" s="37"/>
      <c r="J131" s="37"/>
      <c r="K131" s="5"/>
      <c r="L131" s="5"/>
      <c r="M131" s="2"/>
      <c r="N131" s="140"/>
      <c r="O131" s="139"/>
      <c r="P131" s="139"/>
      <c r="Q131" s="147"/>
      <c r="R131" s="140"/>
      <c r="S131" s="140"/>
      <c r="T131" s="140"/>
      <c r="U131" s="140"/>
      <c r="V131" s="2"/>
      <c r="W131" s="116"/>
      <c r="X131" s="117"/>
      <c r="Y131" s="116"/>
      <c r="Z131" s="117"/>
      <c r="AA131" s="117"/>
      <c r="AB131" s="116"/>
      <c r="AC131" s="116"/>
      <c r="AD131" s="116"/>
    </row>
    <row r="132" spans="1:30" s="4" customFormat="1" x14ac:dyDescent="0.2">
      <c r="A132" s="71"/>
      <c r="B132" s="20"/>
      <c r="C132" s="19"/>
      <c r="D132" s="19"/>
      <c r="E132" s="80"/>
      <c r="F132" s="19"/>
      <c r="G132" s="19"/>
      <c r="H132" s="37"/>
      <c r="I132" s="37"/>
      <c r="J132" s="37"/>
      <c r="K132" s="5"/>
      <c r="L132" s="5"/>
      <c r="M132" s="2"/>
      <c r="N132" s="140"/>
      <c r="O132" s="139"/>
      <c r="P132" s="139"/>
      <c r="Q132" s="147"/>
      <c r="R132" s="140"/>
      <c r="S132" s="140"/>
      <c r="T132" s="140"/>
      <c r="U132" s="140"/>
      <c r="V132" s="2"/>
      <c r="W132" s="116"/>
      <c r="X132" s="117"/>
      <c r="Y132" s="116"/>
      <c r="Z132" s="117"/>
      <c r="AA132" s="117"/>
      <c r="AB132" s="116"/>
      <c r="AC132" s="116"/>
      <c r="AD132" s="116"/>
    </row>
    <row r="133" spans="1:30" s="4" customFormat="1" x14ac:dyDescent="0.2">
      <c r="A133" s="70" t="s">
        <v>409</v>
      </c>
      <c r="B133" s="20"/>
      <c r="C133" s="19"/>
      <c r="D133" s="19"/>
      <c r="E133" s="80"/>
      <c r="F133" s="19"/>
      <c r="G133" s="19"/>
      <c r="H133" s="37"/>
      <c r="I133" s="37"/>
      <c r="J133" s="37"/>
      <c r="K133" s="5"/>
      <c r="L133" s="5"/>
      <c r="M133" s="2"/>
      <c r="N133" s="140"/>
      <c r="O133" s="139"/>
      <c r="P133" s="139"/>
      <c r="Q133" s="147"/>
      <c r="R133" s="140"/>
      <c r="S133" s="140"/>
      <c r="T133" s="140"/>
      <c r="U133" s="140"/>
      <c r="V133" s="2"/>
      <c r="W133" s="116"/>
      <c r="X133" s="117"/>
      <c r="Y133" s="116"/>
      <c r="Z133" s="117"/>
      <c r="AA133" s="117"/>
      <c r="AB133" s="116"/>
      <c r="AC133" s="116"/>
      <c r="AD133" s="116"/>
    </row>
    <row r="134" spans="1:30" s="4" customFormat="1" x14ac:dyDescent="0.2">
      <c r="A134" s="102" t="s">
        <v>218</v>
      </c>
      <c r="B134" s="20"/>
      <c r="C134" s="19"/>
      <c r="D134" s="19"/>
      <c r="E134" s="80"/>
      <c r="F134" s="19"/>
      <c r="G134" s="19"/>
      <c r="H134" s="37"/>
      <c r="I134" s="37"/>
      <c r="J134" s="37"/>
      <c r="K134" s="5"/>
      <c r="L134" s="5"/>
      <c r="M134" s="2"/>
      <c r="N134" s="140" t="s">
        <v>377</v>
      </c>
      <c r="O134" s="139" t="s">
        <v>357</v>
      </c>
      <c r="P134" s="139" t="s">
        <v>358</v>
      </c>
      <c r="Q134" s="147" cm="1">
        <f t="array" aca="1" ref="Q134" ca="1">IF($N134="Y",((VLOOKUP($O134,INDIRECT($N$3),Q$6,0)))*INDIRECT($N$2),(VLOOKUP($O134,INDIRECT($N$3),Q$6,0)))</f>
        <v>1.7023239167083781</v>
      </c>
      <c r="R134" s="140"/>
      <c r="S134" s="140"/>
      <c r="T134" s="140"/>
      <c r="U134" s="140"/>
      <c r="V134" s="2"/>
      <c r="W134" s="116" t="str">
        <f>O134</f>
        <v>CEQEVE</v>
      </c>
      <c r="X134" s="117"/>
      <c r="Y134" s="116" t="str">
        <f t="shared" ref="Y134:Z136" si="15">P134</f>
        <v>TL-Evening Shift Premium-CEQ</v>
      </c>
      <c r="Z134" s="123">
        <f t="shared" ca="1" si="15"/>
        <v>1.7023239167083781</v>
      </c>
      <c r="AA134" s="117"/>
      <c r="AB134" s="116"/>
      <c r="AC134" s="116"/>
      <c r="AD134" s="116"/>
    </row>
    <row r="135" spans="1:30" s="4" customFormat="1" x14ac:dyDescent="0.2">
      <c r="A135" s="102" t="str">
        <f ca="1">"schedule that includes a Saturday or Sunday shall be paid a night/weekend shift differential of "&amp;TEXT(Q135,"$0.000")&amp;" per hour for all hours worked on the qualified shift,"</f>
        <v>schedule that includes a Saturday or Sunday shall be paid a night/weekend shift differential of $1.702 per hour for all hours worked on the qualified shift,</v>
      </c>
      <c r="B135" s="20"/>
      <c r="C135" s="19"/>
      <c r="D135" s="19"/>
      <c r="E135" s="80"/>
      <c r="F135" s="19"/>
      <c r="G135" s="19"/>
      <c r="H135" s="37"/>
      <c r="I135" s="37"/>
      <c r="J135" s="37"/>
      <c r="K135" s="5"/>
      <c r="L135" s="5"/>
      <c r="M135" s="2"/>
      <c r="N135" s="140" t="s">
        <v>377</v>
      </c>
      <c r="O135" s="139" t="s">
        <v>359</v>
      </c>
      <c r="P135" s="139" t="s">
        <v>360</v>
      </c>
      <c r="Q135" s="147" cm="1">
        <f t="array" aca="1" ref="Q135" ca="1">IF($N135="Y",((VLOOKUP($O135,INDIRECT($N$3),Q$6,0)))*INDIRECT($N$2),(VLOOKUP($O135,INDIRECT($N$3),Q$6,0)))</f>
        <v>1.7023239167083781</v>
      </c>
      <c r="R135" s="140"/>
      <c r="S135" s="140"/>
      <c r="T135" s="140"/>
      <c r="U135" s="140"/>
      <c r="V135" s="2"/>
      <c r="W135" s="116" t="str">
        <f>O135</f>
        <v>CEQAM1</v>
      </c>
      <c r="X135" s="117"/>
      <c r="Y135" s="116" t="str">
        <f t="shared" si="15"/>
        <v>TL-Morning Shift Premium CEQ</v>
      </c>
      <c r="Z135" s="123">
        <f t="shared" ca="1" si="15"/>
        <v>1.7023239167083781</v>
      </c>
      <c r="AA135" s="117"/>
      <c r="AB135" s="116"/>
      <c r="AC135" s="116"/>
      <c r="AD135" s="116"/>
    </row>
    <row r="136" spans="1:30" s="4" customFormat="1" x14ac:dyDescent="0.2">
      <c r="A136" s="19" t="s">
        <v>220</v>
      </c>
      <c r="B136" s="20"/>
      <c r="C136" s="19"/>
      <c r="D136" s="19"/>
      <c r="E136" s="80"/>
      <c r="F136" s="19"/>
      <c r="G136" s="19"/>
      <c r="H136" s="37"/>
      <c r="I136" s="37"/>
      <c r="J136" s="37"/>
      <c r="K136" s="5"/>
      <c r="L136" s="5"/>
      <c r="M136" s="2"/>
      <c r="N136" s="140" t="s">
        <v>377</v>
      </c>
      <c r="O136" s="139" t="s">
        <v>361</v>
      </c>
      <c r="P136" s="139" t="s">
        <v>362</v>
      </c>
      <c r="Q136" s="147" cm="1">
        <f t="array" aca="1" ref="Q136" ca="1">IF($N136="Y",((VLOOKUP($O136,INDIRECT($N$3),Q$6,0)))*INDIRECT($N$2),(VLOOKUP($O136,INDIRECT($N$3),Q$6,0)))</f>
        <v>1.7023239167083781</v>
      </c>
      <c r="R136" s="140"/>
      <c r="S136" s="140"/>
      <c r="T136" s="140"/>
      <c r="U136" s="140"/>
      <c r="V136" s="2"/>
      <c r="W136" s="116" t="str">
        <f>O136</f>
        <v>CEQWKE</v>
      </c>
      <c r="X136" s="117"/>
      <c r="Y136" s="116" t="str">
        <f t="shared" si="15"/>
        <v>TL-Weekend Shift-CEQ</v>
      </c>
      <c r="Z136" s="123">
        <f t="shared" ca="1" si="15"/>
        <v>1.7023239167083781</v>
      </c>
      <c r="AA136" s="117"/>
      <c r="AB136" s="116"/>
      <c r="AC136" s="116"/>
      <c r="AD136" s="116"/>
    </row>
    <row r="137" spans="1:30" s="4" customFormat="1" x14ac:dyDescent="0.2">
      <c r="A137" s="19" t="s">
        <v>221</v>
      </c>
      <c r="B137" s="20"/>
      <c r="C137" s="19"/>
      <c r="D137" s="19"/>
      <c r="E137" s="80"/>
      <c r="F137" s="19"/>
      <c r="G137" s="19"/>
      <c r="H137" s="37"/>
      <c r="I137" s="37"/>
      <c r="J137" s="37"/>
      <c r="K137" s="5"/>
      <c r="L137" s="5"/>
      <c r="M137" s="2"/>
      <c r="N137" s="140"/>
      <c r="O137" s="139"/>
      <c r="P137" s="139"/>
      <c r="Q137" s="147"/>
      <c r="R137" s="140"/>
      <c r="S137" s="140"/>
      <c r="T137" s="140"/>
      <c r="U137" s="140"/>
      <c r="V137" s="2"/>
      <c r="W137" s="116"/>
      <c r="X137" s="117"/>
      <c r="Y137" s="116"/>
      <c r="Z137" s="117"/>
      <c r="AA137" s="117"/>
      <c r="AB137" s="116"/>
      <c r="AC137" s="116"/>
      <c r="AD137" s="116"/>
    </row>
    <row r="138" spans="1:30" s="4" customFormat="1" x14ac:dyDescent="0.2">
      <c r="A138" s="72"/>
      <c r="B138" s="33"/>
      <c r="C138" s="33"/>
      <c r="D138" s="33"/>
      <c r="E138" s="83"/>
      <c r="F138" s="33"/>
      <c r="G138" s="33"/>
      <c r="H138" s="33"/>
      <c r="I138" s="33"/>
      <c r="J138" s="33"/>
      <c r="K138" s="5"/>
      <c r="L138" s="5"/>
      <c r="M138" s="2"/>
      <c r="N138" s="140"/>
      <c r="O138" s="139"/>
      <c r="P138" s="139"/>
      <c r="Q138" s="147"/>
      <c r="R138" s="140"/>
      <c r="S138" s="140"/>
      <c r="T138" s="140"/>
      <c r="U138" s="140"/>
      <c r="V138" s="2"/>
      <c r="W138" s="116"/>
      <c r="X138" s="117"/>
      <c r="Y138" s="116"/>
      <c r="Z138" s="117"/>
      <c r="AA138" s="117"/>
      <c r="AB138" s="116"/>
      <c r="AC138" s="116"/>
      <c r="AD138" s="116"/>
    </row>
    <row r="139" spans="1:30" x14ac:dyDescent="0.2">
      <c r="A139" s="70" t="s">
        <v>410</v>
      </c>
      <c r="B139" s="33"/>
      <c r="C139" s="33"/>
      <c r="D139" s="33"/>
      <c r="E139" s="83"/>
      <c r="F139" s="33"/>
      <c r="G139" s="33"/>
      <c r="H139" s="33"/>
      <c r="I139" s="33"/>
      <c r="J139" s="33"/>
      <c r="Q139" s="147"/>
    </row>
    <row r="140" spans="1:30" s="33" customFormat="1" x14ac:dyDescent="0.2">
      <c r="A140" s="57" t="s">
        <v>217</v>
      </c>
      <c r="E140" s="83"/>
      <c r="K140" s="34"/>
      <c r="L140" s="34"/>
      <c r="N140" s="140"/>
      <c r="O140" s="151"/>
      <c r="P140" s="151"/>
      <c r="Q140" s="147"/>
      <c r="R140" s="140"/>
      <c r="S140" s="140"/>
      <c r="T140" s="140"/>
      <c r="U140" s="140"/>
      <c r="W140" s="125"/>
      <c r="X140" s="117"/>
      <c r="Y140" s="125"/>
      <c r="Z140" s="117"/>
      <c r="AA140" s="117"/>
      <c r="AB140" s="125"/>
      <c r="AC140" s="125"/>
      <c r="AD140" s="125"/>
    </row>
    <row r="141" spans="1:30" s="33" customFormat="1" x14ac:dyDescent="0.2">
      <c r="A141" s="39" t="s">
        <v>173</v>
      </c>
      <c r="B141" s="72"/>
      <c r="C141" s="72"/>
      <c r="D141" s="72"/>
      <c r="E141" s="87"/>
      <c r="F141" s="73"/>
      <c r="G141" s="73"/>
      <c r="H141" s="37"/>
      <c r="I141" s="37"/>
      <c r="J141" s="55"/>
      <c r="K141" s="45"/>
      <c r="L141" s="34"/>
      <c r="N141" s="140"/>
      <c r="O141" s="151" t="s">
        <v>171</v>
      </c>
      <c r="P141" s="151"/>
      <c r="Q141" s="147"/>
      <c r="R141" s="140"/>
      <c r="S141" s="140"/>
      <c r="T141" s="140"/>
      <c r="U141" s="140"/>
      <c r="W141" s="155" t="s">
        <v>171</v>
      </c>
      <c r="X141" s="117"/>
      <c r="Y141" s="125"/>
      <c r="Z141" s="117"/>
      <c r="AA141" s="117"/>
      <c r="AB141" s="125"/>
      <c r="AC141" s="125"/>
      <c r="AD141" s="125"/>
    </row>
    <row r="142" spans="1:30" x14ac:dyDescent="0.2">
      <c r="A142" s="110">
        <f ca="1">Q142</f>
        <v>0.29269668444091784</v>
      </c>
      <c r="B142" s="57" t="s">
        <v>174</v>
      </c>
      <c r="C142" s="72"/>
      <c r="D142" s="72"/>
      <c r="E142" s="87"/>
      <c r="F142" s="73"/>
      <c r="G142" s="73"/>
      <c r="H142" s="37"/>
      <c r="I142" s="37"/>
      <c r="J142" s="55"/>
      <c r="N142" s="140" t="s">
        <v>377</v>
      </c>
      <c r="O142" s="139" t="s">
        <v>371</v>
      </c>
      <c r="Q142" s="147" cm="1">
        <f t="array" aca="1" ref="Q142" ca="1">IF($N142="Y",((VLOOKUP($O142,INDIRECT($N$3),Q$6,0)))*INDIRECT($N$2),(VLOOKUP($O142,INDIRECT($N$3),Q$6,0)))</f>
        <v>0.29269668444091784</v>
      </c>
      <c r="W142" s="116" t="str">
        <f>O142</f>
        <v>10th</v>
      </c>
      <c r="Z142" s="123">
        <f ca="1">Q142</f>
        <v>0.29269668444091784</v>
      </c>
    </row>
    <row r="143" spans="1:30" s="5" customFormat="1" x14ac:dyDescent="0.2">
      <c r="A143" s="110">
        <f ca="1">Q143</f>
        <v>0.49290121659850561</v>
      </c>
      <c r="B143" s="57" t="s">
        <v>175</v>
      </c>
      <c r="C143" s="72"/>
      <c r="D143" s="72"/>
      <c r="E143" s="87"/>
      <c r="F143" s="73"/>
      <c r="G143" s="73"/>
      <c r="H143" s="37"/>
      <c r="I143" s="37"/>
      <c r="J143" s="55"/>
      <c r="K143" s="50"/>
      <c r="M143" s="2"/>
      <c r="N143" s="140" t="s">
        <v>377</v>
      </c>
      <c r="O143" s="139" t="s">
        <v>372</v>
      </c>
      <c r="P143" s="139"/>
      <c r="Q143" s="147" cm="1">
        <f t="array" aca="1" ref="Q143" ca="1">IF($N143="Y",((VLOOKUP($O143,INDIRECT($N$3),Q$6,0)))*INDIRECT($N$2),(VLOOKUP($O143,INDIRECT($N$3),Q$6,0)))</f>
        <v>0.49290121659850561</v>
      </c>
      <c r="R143" s="140"/>
      <c r="S143" s="140"/>
      <c r="T143" s="140"/>
      <c r="U143" s="140"/>
      <c r="V143" s="2"/>
      <c r="W143" s="116" t="str">
        <f>O143</f>
        <v>15th</v>
      </c>
      <c r="X143" s="117"/>
      <c r="Y143" s="116"/>
      <c r="Z143" s="123">
        <f ca="1">Q143</f>
        <v>0.49290121659850561</v>
      </c>
      <c r="AA143" s="117"/>
      <c r="AB143" s="116"/>
      <c r="AC143" s="136"/>
      <c r="AD143" s="136"/>
    </row>
    <row r="144" spans="1:30" s="5" customFormat="1" x14ac:dyDescent="0.2">
      <c r="A144" s="110">
        <f ca="1">Q144</f>
        <v>0.58305179540630847</v>
      </c>
      <c r="B144" s="57" t="s">
        <v>176</v>
      </c>
      <c r="C144" s="72"/>
      <c r="D144" s="72"/>
      <c r="E144" s="87"/>
      <c r="F144" s="73"/>
      <c r="G144" s="73"/>
      <c r="H144" s="37"/>
      <c r="I144" s="37"/>
      <c r="J144" s="55"/>
      <c r="K144" s="50"/>
      <c r="M144" s="2"/>
      <c r="N144" s="140" t="s">
        <v>377</v>
      </c>
      <c r="O144" s="139" t="s">
        <v>373</v>
      </c>
      <c r="P144" s="139"/>
      <c r="Q144" s="147" cm="1">
        <f t="array" aca="1" ref="Q144" ca="1">IF($N144="Y",((VLOOKUP($O144,INDIRECT($N$3),Q$6,0)))*INDIRECT($N$2),(VLOOKUP($O144,INDIRECT($N$3),Q$6,0)))</f>
        <v>0.58305179540630847</v>
      </c>
      <c r="R144" s="140"/>
      <c r="S144" s="140"/>
      <c r="T144" s="140"/>
      <c r="U144" s="140"/>
      <c r="V144" s="2"/>
      <c r="W144" s="116" t="str">
        <f>O144</f>
        <v>20th</v>
      </c>
      <c r="X144" s="117"/>
      <c r="Y144" s="116"/>
      <c r="Z144" s="123">
        <f ca="1">Q144</f>
        <v>0.58305179540630847</v>
      </c>
      <c r="AA144" s="117"/>
      <c r="AB144" s="116"/>
      <c r="AC144" s="136"/>
      <c r="AD144" s="136"/>
    </row>
    <row r="145" spans="1:30" s="5" customFormat="1" x14ac:dyDescent="0.2">
      <c r="A145" s="110">
        <f ca="1">Q145</f>
        <v>0.83828330423878861</v>
      </c>
      <c r="B145" s="57" t="s">
        <v>177</v>
      </c>
      <c r="C145" s="72"/>
      <c r="D145" s="72"/>
      <c r="E145" s="87"/>
      <c r="F145" s="73"/>
      <c r="G145" s="73"/>
      <c r="H145" s="37"/>
      <c r="I145" s="37"/>
      <c r="J145" s="55"/>
      <c r="K145" s="50"/>
      <c r="M145" s="2"/>
      <c r="N145" s="140" t="s">
        <v>377</v>
      </c>
      <c r="O145" s="139" t="s">
        <v>374</v>
      </c>
      <c r="P145" s="139"/>
      <c r="Q145" s="147" cm="1">
        <f t="array" aca="1" ref="Q145" ca="1">IF($N145="Y",((VLOOKUP($O145,INDIRECT($N$3),Q$6,0)))*INDIRECT($N$2),(VLOOKUP($O145,INDIRECT($N$3),Q$6,0)))</f>
        <v>0.83828330423878861</v>
      </c>
      <c r="R145" s="140"/>
      <c r="S145" s="140"/>
      <c r="T145" s="140"/>
      <c r="U145" s="140"/>
      <c r="V145" s="2"/>
      <c r="W145" s="116" t="str">
        <f>O145</f>
        <v>25th</v>
      </c>
      <c r="X145" s="117"/>
      <c r="Y145" s="116"/>
      <c r="Z145" s="123">
        <f ca="1">Q145</f>
        <v>0.83828330423878861</v>
      </c>
      <c r="AA145" s="117"/>
      <c r="AB145" s="116"/>
      <c r="AC145" s="136"/>
      <c r="AD145" s="136"/>
    </row>
    <row r="146" spans="1:30" s="5" customFormat="1" x14ac:dyDescent="0.2">
      <c r="A146" s="53"/>
      <c r="B146" s="57"/>
      <c r="C146" s="72"/>
      <c r="D146" s="72"/>
      <c r="E146" s="87"/>
      <c r="F146" s="73"/>
      <c r="G146" s="73"/>
      <c r="H146" s="37"/>
      <c r="I146" s="37"/>
      <c r="J146" s="55"/>
      <c r="K146" s="50"/>
      <c r="M146" s="2"/>
      <c r="N146" s="140"/>
      <c r="O146" s="139"/>
      <c r="P146" s="139"/>
      <c r="Q146" s="147"/>
      <c r="R146" s="140"/>
      <c r="S146" s="140"/>
      <c r="T146" s="140"/>
      <c r="U146" s="140"/>
      <c r="V146" s="2"/>
      <c r="W146" s="116"/>
      <c r="X146" s="117"/>
      <c r="Y146" s="116"/>
      <c r="Z146" s="117"/>
      <c r="AA146" s="117"/>
      <c r="AB146" s="116"/>
      <c r="AC146" s="136"/>
      <c r="AD146" s="136"/>
    </row>
    <row r="147" spans="1:30" s="5" customFormat="1" x14ac:dyDescent="0.2">
      <c r="A147" s="70" t="s">
        <v>411</v>
      </c>
      <c r="B147" s="2"/>
      <c r="C147" s="2"/>
      <c r="D147" s="2"/>
      <c r="E147" s="77"/>
      <c r="F147" s="2"/>
      <c r="G147" s="2"/>
      <c r="H147" s="2"/>
      <c r="I147" s="2"/>
      <c r="J147" s="2"/>
      <c r="K147" s="50"/>
      <c r="M147" s="2"/>
      <c r="N147" s="140"/>
      <c r="O147" s="139"/>
      <c r="P147" s="139"/>
      <c r="Q147" s="147"/>
      <c r="R147" s="140"/>
      <c r="S147" s="140"/>
      <c r="T147" s="140"/>
      <c r="U147" s="140"/>
      <c r="V147" s="2"/>
      <c r="W147" s="116"/>
      <c r="X147" s="117"/>
      <c r="Y147" s="116"/>
      <c r="Z147" s="117"/>
      <c r="AA147" s="117"/>
      <c r="AB147" s="116"/>
      <c r="AC147" s="136"/>
      <c r="AD147" s="136"/>
    </row>
    <row r="148" spans="1:30" s="5" customFormat="1" x14ac:dyDescent="0.2">
      <c r="A148" s="74" t="s">
        <v>179</v>
      </c>
      <c r="B148" s="2"/>
      <c r="C148" s="2"/>
      <c r="D148" s="2"/>
      <c r="E148" s="77"/>
      <c r="F148" s="2"/>
      <c r="G148" s="2"/>
      <c r="H148" s="2"/>
      <c r="I148" s="2"/>
      <c r="J148" s="2"/>
      <c r="M148" s="2"/>
      <c r="N148" s="140"/>
      <c r="O148" s="139"/>
      <c r="P148" s="139"/>
      <c r="Q148" s="147"/>
      <c r="R148" s="140"/>
      <c r="S148" s="140"/>
      <c r="T148" s="140"/>
      <c r="U148" s="140"/>
      <c r="V148" s="2"/>
      <c r="W148" s="116"/>
      <c r="X148" s="117"/>
      <c r="Y148" s="116"/>
      <c r="Z148" s="117"/>
      <c r="AA148" s="117"/>
      <c r="AB148" s="116"/>
      <c r="AC148" s="136"/>
      <c r="AD148" s="136"/>
    </row>
    <row r="149" spans="1:30" s="5" customFormat="1" x14ac:dyDescent="0.2">
      <c r="A149" s="74" t="str">
        <f ca="1">"a training premium of "&amp;TEXT(Q149,"$0.000")&amp;" per hour for all hours shall be paid."</f>
        <v>a training premium of $3.735 per hour for all hours shall be paid.</v>
      </c>
      <c r="B149" s="2"/>
      <c r="C149" s="2"/>
      <c r="D149" s="2"/>
      <c r="E149" s="77"/>
      <c r="F149" s="2"/>
      <c r="G149" s="2"/>
      <c r="H149" s="2"/>
      <c r="I149" s="2"/>
      <c r="J149" s="2"/>
      <c r="M149" s="2"/>
      <c r="N149" s="140" t="s">
        <v>377</v>
      </c>
      <c r="O149" s="139" t="s">
        <v>363</v>
      </c>
      <c r="P149" s="139" t="s">
        <v>364</v>
      </c>
      <c r="Q149" s="147" cm="1">
        <f t="array" aca="1" ref="Q149" ca="1">IF($N149="Y",((VLOOKUP($O149,INDIRECT($N$3),Q$6,0)))*INDIRECT($N$2),(VLOOKUP($O149,INDIRECT($N$3),Q$6,0)))</f>
        <v>3.7348096934661115</v>
      </c>
      <c r="R149" s="140"/>
      <c r="S149" s="140"/>
      <c r="T149" s="140"/>
      <c r="U149" s="140"/>
      <c r="V149" s="2"/>
      <c r="W149" s="116" t="str">
        <f>O149</f>
        <v>CEQTPP</v>
      </c>
      <c r="X149" s="117"/>
      <c r="Y149" s="116" t="str">
        <f>P149</f>
        <v>TL-Training Premium Pay-CEQ</v>
      </c>
      <c r="Z149" s="123">
        <f ca="1">Q149</f>
        <v>3.7348096934661115</v>
      </c>
      <c r="AA149" s="117"/>
      <c r="AB149" s="116"/>
      <c r="AC149" s="136"/>
      <c r="AD149" s="136"/>
    </row>
    <row r="150" spans="1:30" s="5" customFormat="1" x14ac:dyDescent="0.2">
      <c r="A150" s="74"/>
      <c r="B150" s="2"/>
      <c r="C150" s="2"/>
      <c r="D150" s="2"/>
      <c r="E150" s="77"/>
      <c r="F150" s="2"/>
      <c r="G150" s="2"/>
      <c r="H150" s="2"/>
      <c r="I150" s="2"/>
      <c r="J150" s="2"/>
      <c r="M150" s="2"/>
      <c r="N150" s="140"/>
      <c r="O150" s="139"/>
      <c r="P150" s="139"/>
      <c r="Q150" s="147"/>
      <c r="R150" s="140"/>
      <c r="S150" s="140"/>
      <c r="T150" s="140"/>
      <c r="U150" s="140"/>
      <c r="V150" s="2"/>
      <c r="W150" s="116"/>
      <c r="X150" s="117"/>
      <c r="Y150" s="116"/>
      <c r="Z150" s="117"/>
      <c r="AA150" s="117"/>
      <c r="AB150" s="116"/>
      <c r="AC150" s="136"/>
      <c r="AD150" s="136"/>
    </row>
    <row r="151" spans="1:30" x14ac:dyDescent="0.2">
      <c r="A151" s="70" t="s">
        <v>412</v>
      </c>
    </row>
    <row r="154" spans="1:30" x14ac:dyDescent="0.2">
      <c r="N154" s="140" t="s">
        <v>11</v>
      </c>
      <c r="O154" s="139" t="s">
        <v>461</v>
      </c>
      <c r="P154" s="139" t="s">
        <v>463</v>
      </c>
      <c r="Q154" s="147" cm="1">
        <f t="array" aca="1" ref="Q154" ca="1">IF($N154="Y",((VLOOKUP($O154,INDIRECT($N$3),Q$6,0)))*INDIRECT($N$2),(VLOOKUP($O154,INDIRECT($N$3),Q$6,0)))</f>
        <v>45</v>
      </c>
      <c r="W154" s="116" t="str">
        <f t="shared" ref="W154:W155" si="16">O154</f>
        <v>CEQCDW</v>
      </c>
      <c r="Y154" s="116" t="str">
        <f t="shared" ref="Y154:Y155" si="17">P154</f>
        <v>TL-On call by the day (we)-CEQ</v>
      </c>
      <c r="Z154" s="123">
        <f t="shared" ref="Z154:Z155" ca="1" si="18">Q154</f>
        <v>45</v>
      </c>
    </row>
    <row r="155" spans="1:30" x14ac:dyDescent="0.2">
      <c r="N155" s="140" t="s">
        <v>11</v>
      </c>
      <c r="O155" s="139" t="s">
        <v>462</v>
      </c>
      <c r="P155" s="139" t="s">
        <v>464</v>
      </c>
      <c r="Q155" s="147" cm="1">
        <f t="array" aca="1" ref="Q155" ca="1">IF($N155="Y",((VLOOKUP($O155,INDIRECT($N$3),Q$6,0)))*INDIRECT($N$2),(VLOOKUP($O155,INDIRECT($N$3),Q$6,0)))</f>
        <v>35</v>
      </c>
      <c r="W155" s="116" t="str">
        <f t="shared" si="16"/>
        <v>CEQCDY</v>
      </c>
      <c r="Y155" s="116" t="str">
        <f t="shared" si="17"/>
        <v>TL-On call by the day-CEQ</v>
      </c>
      <c r="Z155" s="123">
        <f t="shared" ca="1" si="18"/>
        <v>35</v>
      </c>
    </row>
    <row r="157" spans="1:30" x14ac:dyDescent="0.2">
      <c r="B157" s="2" t="s">
        <v>453</v>
      </c>
      <c r="E157" s="2"/>
      <c r="F157" s="77"/>
      <c r="H157" s="2" t="s">
        <v>454</v>
      </c>
    </row>
    <row r="158" spans="1:30" x14ac:dyDescent="0.2">
      <c r="N158" s="140" t="s">
        <v>11</v>
      </c>
      <c r="O158" s="139" t="s">
        <v>465</v>
      </c>
      <c r="P158" s="139" t="s">
        <v>466</v>
      </c>
      <c r="Q158" s="147" cm="1">
        <f t="array" aca="1" ref="Q158" ca="1">IF($N158="Y",((VLOOKUP($O158,INDIRECT($N$3),Q$6,0)))*INDIRECT($N$2),(VLOOKUP($O158,INDIRECT($N$3),Q$6,0)))</f>
        <v>5</v>
      </c>
      <c r="R158" s="252" t="s">
        <v>467</v>
      </c>
      <c r="W158" s="116" t="str">
        <f>O158</f>
        <v>CEQCRP</v>
      </c>
      <c r="Y158" s="116" t="str">
        <f>P158</f>
        <v>Critical Response T&amp;L</v>
      </c>
      <c r="Z158" s="123">
        <f ca="1">Q158</f>
        <v>5</v>
      </c>
    </row>
  </sheetData>
  <sheetProtection sheet="1" objects="1" scenarios="1"/>
  <pageMargins left="0.25" right="0.25" top="0.75" bottom="0.75" header="0.3" footer="0.3"/>
  <pageSetup scale="38" fitToHeight="0" orientation="landscape"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ADDAA-3D4B-4B82-99A3-5AC83E0EE77F}">
  <sheetPr codeName="Sheet15"/>
  <dimension ref="A1:C28"/>
  <sheetViews>
    <sheetView topLeftCell="A13" workbookViewId="0">
      <selection activeCell="A29" sqref="A29"/>
    </sheetView>
  </sheetViews>
  <sheetFormatPr defaultRowHeight="12.75" x14ac:dyDescent="0.2"/>
  <cols>
    <col min="1" max="1" width="10.140625" bestFit="1" customWidth="1"/>
    <col min="2" max="2" width="14.42578125" bestFit="1" customWidth="1"/>
    <col min="3" max="3" width="80" bestFit="1" customWidth="1"/>
  </cols>
  <sheetData>
    <row r="1" spans="2:3" x14ac:dyDescent="0.2">
      <c r="B1" t="s">
        <v>256</v>
      </c>
      <c r="C1" t="s">
        <v>256</v>
      </c>
    </row>
    <row r="2" spans="2:3" x14ac:dyDescent="0.2">
      <c r="B2" t="s">
        <v>256</v>
      </c>
      <c r="C2" t="s">
        <v>257</v>
      </c>
    </row>
    <row r="3" spans="2:3" x14ac:dyDescent="0.2">
      <c r="B3" t="s">
        <v>256</v>
      </c>
      <c r="C3" t="s">
        <v>258</v>
      </c>
    </row>
    <row r="4" spans="2:3" x14ac:dyDescent="0.2">
      <c r="B4" t="s">
        <v>256</v>
      </c>
      <c r="C4" t="s">
        <v>259</v>
      </c>
    </row>
    <row r="5" spans="2:3" x14ac:dyDescent="0.2">
      <c r="B5" t="s">
        <v>256</v>
      </c>
      <c r="C5" t="s">
        <v>260</v>
      </c>
    </row>
    <row r="7" spans="2:3" x14ac:dyDescent="0.2">
      <c r="B7" t="s">
        <v>256</v>
      </c>
      <c r="C7" t="s">
        <v>261</v>
      </c>
    </row>
    <row r="8" spans="2:3" x14ac:dyDescent="0.2">
      <c r="B8" t="s">
        <v>256</v>
      </c>
      <c r="C8" t="s">
        <v>262</v>
      </c>
    </row>
    <row r="9" spans="2:3" x14ac:dyDescent="0.2">
      <c r="B9" t="s">
        <v>256</v>
      </c>
      <c r="C9" t="s">
        <v>263</v>
      </c>
    </row>
    <row r="10" spans="2:3" x14ac:dyDescent="0.2">
      <c r="B10" t="s">
        <v>256</v>
      </c>
      <c r="C10" t="s">
        <v>264</v>
      </c>
    </row>
    <row r="12" spans="2:3" x14ac:dyDescent="0.2">
      <c r="B12" t="s">
        <v>256</v>
      </c>
      <c r="C12" t="s">
        <v>265</v>
      </c>
    </row>
    <row r="13" spans="2:3" x14ac:dyDescent="0.2">
      <c r="B13" t="s">
        <v>256</v>
      </c>
      <c r="C13" t="s">
        <v>266</v>
      </c>
    </row>
    <row r="14" spans="2:3" x14ac:dyDescent="0.2">
      <c r="B14" t="s">
        <v>256</v>
      </c>
      <c r="C14" t="s">
        <v>267</v>
      </c>
    </row>
    <row r="16" spans="2:3" x14ac:dyDescent="0.2">
      <c r="B16" t="s">
        <v>256</v>
      </c>
      <c r="C16" t="s">
        <v>268</v>
      </c>
    </row>
    <row r="17" spans="1:3" x14ac:dyDescent="0.2">
      <c r="B17" t="s">
        <v>256</v>
      </c>
      <c r="C17" t="s">
        <v>269</v>
      </c>
    </row>
    <row r="19" spans="1:3" x14ac:dyDescent="0.2">
      <c r="B19" t="s">
        <v>256</v>
      </c>
      <c r="C19" t="s">
        <v>270</v>
      </c>
    </row>
    <row r="20" spans="1:3" x14ac:dyDescent="0.2">
      <c r="B20" t="s">
        <v>256</v>
      </c>
      <c r="C20" t="s">
        <v>269</v>
      </c>
    </row>
    <row r="21" spans="1:3" x14ac:dyDescent="0.2">
      <c r="A21" s="99">
        <v>43805</v>
      </c>
      <c r="B21" t="s">
        <v>244</v>
      </c>
      <c r="C21" t="s">
        <v>245</v>
      </c>
    </row>
    <row r="22" spans="1:3" ht="51" x14ac:dyDescent="0.2">
      <c r="A22" s="99">
        <v>43830</v>
      </c>
      <c r="B22" t="s">
        <v>244</v>
      </c>
      <c r="C22" s="100" t="s">
        <v>247</v>
      </c>
    </row>
    <row r="23" spans="1:3" ht="25.5" x14ac:dyDescent="0.2">
      <c r="A23" s="99">
        <v>43889</v>
      </c>
      <c r="B23" t="s">
        <v>244</v>
      </c>
      <c r="C23" s="100" t="s">
        <v>250</v>
      </c>
    </row>
    <row r="24" spans="1:3" x14ac:dyDescent="0.2">
      <c r="A24" s="99">
        <v>43906</v>
      </c>
      <c r="B24" t="s">
        <v>244</v>
      </c>
      <c r="C24" t="s">
        <v>252</v>
      </c>
    </row>
    <row r="25" spans="1:3" x14ac:dyDescent="0.2">
      <c r="A25" s="99">
        <v>43906</v>
      </c>
      <c r="B25" t="s">
        <v>244</v>
      </c>
      <c r="C25" t="s">
        <v>253</v>
      </c>
    </row>
    <row r="26" spans="1:3" x14ac:dyDescent="0.2">
      <c r="A26" s="99">
        <v>43906</v>
      </c>
      <c r="B26" t="s">
        <v>244</v>
      </c>
      <c r="C26" t="s">
        <v>254</v>
      </c>
    </row>
    <row r="27" spans="1:3" x14ac:dyDescent="0.2">
      <c r="A27" s="99">
        <v>44165</v>
      </c>
      <c r="B27" t="s">
        <v>244</v>
      </c>
      <c r="C27" t="s">
        <v>271</v>
      </c>
    </row>
    <row r="28" spans="1:3" x14ac:dyDescent="0.2">
      <c r="A28" s="99">
        <v>45170</v>
      </c>
      <c r="B28" t="s">
        <v>244</v>
      </c>
      <c r="C28" t="s">
        <v>403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34"/>
  </sheetPr>
  <dimension ref="A1:W188"/>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7.5703125" style="77" hidden="1" customWidth="1"/>
    <col min="6" max="6" width="7.5703125" style="2" customWidth="1"/>
    <col min="7" max="7" width="10.5703125" style="2" customWidth="1"/>
    <col min="8" max="8" width="13.5703125" style="2" customWidth="1"/>
    <col min="9" max="9" width="16.42578125" style="2" bestFit="1" customWidth="1"/>
    <col min="10" max="10" width="16.4257812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182</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((('01 01 2017'!H5+1)*1.025)-1)</f>
        <v>27.619263126257493</v>
      </c>
      <c r="I5" s="15">
        <f>((('01 01 2017'!I5+1)*1.025)-1)</f>
        <v>28.810777538434532</v>
      </c>
      <c r="J5" s="4"/>
      <c r="K5" s="4"/>
      <c r="L5" s="16" t="e">
        <f>I</f>
        <v>#NAME?</v>
      </c>
      <c r="M5" s="16"/>
      <c r="N5" s="16"/>
      <c r="O5" s="16"/>
      <c r="Q5" s="16"/>
      <c r="R5" s="17"/>
      <c r="S5" s="16"/>
      <c r="T5" s="16"/>
    </row>
    <row r="6" spans="1:23" x14ac:dyDescent="0.2">
      <c r="A6" s="4" t="s">
        <v>15</v>
      </c>
      <c r="B6" s="4" t="s">
        <v>184</v>
      </c>
      <c r="C6" s="75" t="s">
        <v>196</v>
      </c>
      <c r="D6" s="3" t="s">
        <v>16</v>
      </c>
      <c r="E6" s="79">
        <v>283</v>
      </c>
      <c r="F6" s="4">
        <v>6</v>
      </c>
      <c r="G6" s="4" t="s">
        <v>14</v>
      </c>
      <c r="H6" s="15">
        <f>((('01 01 2017'!H6+1)*1.025)-1)</f>
        <v>25.772703592796631</v>
      </c>
      <c r="I6" s="15">
        <f>((('01 01 2017'!I6+1)*1.025)-1)</f>
        <v>28.016434596983178</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((('01 01 2017'!H7+1)*1.025)-1)</f>
        <v>30.075970136485342</v>
      </c>
      <c r="I7" s="15">
        <f>((('01 01 2017'!I7+1)*1.025)-1)</f>
        <v>32.483174615579266</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((('01 01 2017'!H8+1)*1.025)-1)</f>
        <v>32.619018770783995</v>
      </c>
      <c r="I8" s="15">
        <f>((('01 01 2017'!I8+1)*1.025)-1)</f>
        <v>35.8148100830579</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((('01 01 2017'!H9+1)*1.025)-1)</f>
        <v>26.610792957110537</v>
      </c>
      <c r="I9" s="15">
        <f>((('01 01 2017'!I9+1)*1.025)-1)</f>
        <v>28.527577011482311</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((('01 01 2017'!H10+1)*1.025)-1)</f>
        <v>27.619263126257493</v>
      </c>
      <c r="I10" s="15">
        <f>((('01 01 2017'!I10+1)*1.025)-1)</f>
        <v>28.810777538434532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((('01 01 2017'!I11+1)*1.025)-1)</f>
        <v>30.382116091115467</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4" t="s">
        <v>30</v>
      </c>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21">
        <f>((('01 01 2017'!I13+1)*1.025)-1)</f>
        <v>27.271775554327974</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21">
        <f>((('01 01 2017'!I14+1)*1.025)-1)</f>
        <v>28.196403732555154</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21">
        <f>((('01 01 2017'!I15+1)*1.025)-1)</f>
        <v>28.924974518741923</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21">
        <f>((('01 01 2017'!I16+1)*1.025)-1)</f>
        <v>29.653545304928695</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21">
        <f>((('01 01 2017'!I17+1)*1.025)-1)</f>
        <v>30.382116091115467</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21"/>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21" t="s">
        <v>30</v>
      </c>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21">
        <f>((('01 01 2017'!I20+1)*1.025)-1)</f>
        <v>28.113427848129174</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21">
        <f>((('01 01 2017'!I21+1)*1.025)-1)</f>
        <v>28.833903170468577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21">
        <f>((('01 01 2017'!I22+1)*1.025)-1)</f>
        <v>29.349974144017541</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21">
        <f>((('01 01 2017'!I23+1)*1.025)-1)</f>
        <v>29.866045117566504</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21">
        <f>((('01 01 2017'!I24+1)*1.025)-1)</f>
        <v>30.382116091115467</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4" t="s">
        <v>30</v>
      </c>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4"/>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((('01 01 2017'!H27+1)*1.025)-1)</f>
        <v>27.357236048554519</v>
      </c>
      <c r="I27" s="21">
        <f>((('01 01 2017'!I27+1)*1.025)-1)</f>
        <v>28.562113661110633</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224</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'01 01 2017'!G38*1.025</f>
        <v>1.1512216542773435</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231</v>
      </c>
      <c r="E40" s="83"/>
      <c r="G40" s="4"/>
      <c r="M40" s="34"/>
      <c r="N40" s="34"/>
      <c r="O40" s="34"/>
      <c r="P40" s="34"/>
      <c r="Q40" s="34"/>
      <c r="R40" s="34"/>
      <c r="S40" s="34"/>
      <c r="T40" s="34"/>
      <c r="U40" s="34"/>
      <c r="V40" s="34"/>
    </row>
    <row r="41" spans="1:22" x14ac:dyDescent="0.2">
      <c r="A41" s="39" t="s">
        <v>51</v>
      </c>
      <c r="B41" s="33"/>
      <c r="C41" s="33"/>
      <c r="D41" s="33"/>
      <c r="G41" s="76">
        <f>'01 01 2017'!G41*1.025</f>
        <v>1.8848432967089839</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'01 01 2017'!G44*1.025</f>
        <v>1.726832481416015</v>
      </c>
      <c r="H44" s="42" t="s">
        <v>53</v>
      </c>
      <c r="I44" s="37"/>
      <c r="J44" s="37"/>
    </row>
    <row r="45" spans="1:22" x14ac:dyDescent="0.2">
      <c r="A45" s="19" t="s">
        <v>234</v>
      </c>
      <c r="C45" s="41"/>
      <c r="D45" s="19"/>
      <c r="E45" s="80"/>
      <c r="F45" s="19"/>
      <c r="G45" s="19"/>
      <c r="H45" s="37"/>
      <c r="I45" s="37"/>
      <c r="J45" s="37"/>
    </row>
    <row r="46" spans="1:22" x14ac:dyDescent="0.2">
      <c r="A46" s="2" t="s">
        <v>55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'01 01 2017'!A52*1.025</f>
        <v>0.28780541356933587</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'01 01 2017'!F60*1.025</f>
        <v>1.7989450058399477</v>
      </c>
      <c r="G60" s="19" t="s">
        <v>67</v>
      </c>
      <c r="L60" s="34"/>
      <c r="M60" s="34"/>
      <c r="N60" s="34"/>
      <c r="O60" s="34"/>
      <c r="P60" s="34"/>
      <c r="Q60" s="34"/>
      <c r="R60" s="34"/>
      <c r="S60" s="34"/>
      <c r="T60" s="34"/>
      <c r="U60" s="34"/>
      <c r="V60" s="34"/>
    </row>
    <row r="61" spans="1:23" s="33" customFormat="1" x14ac:dyDescent="0.2">
      <c r="A61" s="47" t="s">
        <v>68</v>
      </c>
      <c r="E61" s="83"/>
      <c r="F61" s="48">
        <f>'01 01 2017'!F61*1.025</f>
        <v>1.2940191882739054</v>
      </c>
      <c r="G61" s="19" t="s">
        <v>67</v>
      </c>
      <c r="L61" s="34"/>
      <c r="M61" s="34"/>
      <c r="N61" s="34"/>
      <c r="O61" s="34"/>
      <c r="P61" s="34"/>
      <c r="Q61" s="34"/>
      <c r="R61" s="34"/>
      <c r="S61" s="34"/>
      <c r="T61" s="34"/>
      <c r="U61" s="34"/>
      <c r="V61" s="34"/>
    </row>
    <row r="62" spans="1:23" x14ac:dyDescent="0.2">
      <c r="A62" s="47" t="s">
        <v>69</v>
      </c>
      <c r="B62" s="20"/>
      <c r="C62" s="19"/>
      <c r="D62" s="19"/>
      <c r="E62" s="80"/>
      <c r="F62" s="49">
        <f>'01 01 2017'!F62*1.025</f>
        <v>0.86307087421172435</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12" x14ac:dyDescent="0.2">
      <c r="A65" s="18" t="s">
        <v>71</v>
      </c>
      <c r="B65" s="20"/>
      <c r="C65" s="19"/>
      <c r="D65" s="19"/>
      <c r="E65" s="80"/>
      <c r="F65" s="19"/>
      <c r="G65" s="19"/>
      <c r="H65" s="37"/>
      <c r="I65" s="37"/>
      <c r="J65" s="37"/>
    </row>
    <row r="66" spans="1:12" x14ac:dyDescent="0.2">
      <c r="A66" s="18" t="s">
        <v>72</v>
      </c>
      <c r="B66" s="20"/>
      <c r="C66" s="19"/>
      <c r="D66" s="19"/>
      <c r="E66" s="80"/>
      <c r="F66" s="19"/>
      <c r="G66" s="19"/>
      <c r="H66" s="37"/>
      <c r="I66" s="37"/>
      <c r="J66" s="37"/>
    </row>
    <row r="67" spans="1:12" x14ac:dyDescent="0.2">
      <c r="A67" s="52">
        <v>0.42052568460410922</v>
      </c>
      <c r="B67" s="39" t="s">
        <v>73</v>
      </c>
      <c r="C67" s="19"/>
      <c r="D67" s="19"/>
      <c r="E67" s="80"/>
      <c r="F67" s="19"/>
      <c r="G67" s="19"/>
      <c r="H67" s="37"/>
      <c r="I67" s="37"/>
      <c r="J67" s="37"/>
    </row>
    <row r="68" spans="1:12" x14ac:dyDescent="0.2">
      <c r="A68" s="18" t="s">
        <v>74</v>
      </c>
      <c r="B68" s="20"/>
      <c r="C68" s="19"/>
      <c r="D68" s="19"/>
      <c r="E68" s="80"/>
      <c r="F68" s="19"/>
      <c r="G68" s="19"/>
      <c r="H68" s="53"/>
      <c r="I68" s="37"/>
      <c r="J68" s="37"/>
    </row>
    <row r="69" spans="1:12" x14ac:dyDescent="0.2">
      <c r="A69" s="52">
        <v>0.42052568460410922</v>
      </c>
      <c r="B69" s="18" t="s">
        <v>75</v>
      </c>
      <c r="C69" s="19"/>
      <c r="D69" s="19"/>
      <c r="E69" s="80"/>
      <c r="F69" s="19"/>
      <c r="G69" s="19"/>
      <c r="I69" s="37"/>
      <c r="J69" s="37"/>
      <c r="L69" s="50"/>
    </row>
    <row r="70" spans="1:12" x14ac:dyDescent="0.2">
      <c r="A70" s="18" t="s">
        <v>76</v>
      </c>
      <c r="B70" s="20"/>
      <c r="C70" s="19"/>
      <c r="D70" s="19"/>
      <c r="E70" s="80"/>
      <c r="F70" s="19"/>
      <c r="G70" s="19"/>
      <c r="I70" s="37"/>
      <c r="J70" s="37"/>
      <c r="L70" s="50"/>
    </row>
    <row r="71" spans="1:12" x14ac:dyDescent="0.2">
      <c r="A71" s="18" t="s">
        <v>77</v>
      </c>
      <c r="B71" s="20"/>
      <c r="C71" s="19"/>
      <c r="D71" s="19"/>
      <c r="E71" s="80"/>
      <c r="F71" s="19"/>
      <c r="G71" s="19"/>
      <c r="H71" s="37"/>
      <c r="I71" s="37"/>
      <c r="J71" s="37"/>
    </row>
    <row r="72" spans="1:12" x14ac:dyDescent="0.2">
      <c r="A72" s="54">
        <v>0.42052568460410922</v>
      </c>
      <c r="B72" s="19" t="s">
        <v>78</v>
      </c>
      <c r="E72" s="80"/>
      <c r="F72" s="19"/>
      <c r="G72" s="19"/>
      <c r="H72" s="37"/>
      <c r="I72" s="37"/>
      <c r="J72" s="37"/>
    </row>
    <row r="73" spans="1:12" x14ac:dyDescent="0.2">
      <c r="A73" s="18"/>
      <c r="B73" s="20"/>
      <c r="C73" s="19"/>
      <c r="D73" s="19"/>
      <c r="E73" s="80"/>
      <c r="F73" s="19"/>
      <c r="G73" s="19"/>
      <c r="H73" s="37"/>
      <c r="I73" s="37"/>
      <c r="J73" s="37"/>
    </row>
    <row r="74" spans="1:12" x14ac:dyDescent="0.2">
      <c r="G74" s="19"/>
      <c r="H74" s="37"/>
      <c r="I74" s="37"/>
      <c r="J74" s="37"/>
      <c r="L74" s="50"/>
    </row>
    <row r="75" spans="1:12" x14ac:dyDescent="0.2">
      <c r="A75" s="43" t="s">
        <v>79</v>
      </c>
      <c r="B75" s="51"/>
      <c r="C75" s="49">
        <v>0.42052568460410922</v>
      </c>
      <c r="D75" s="19" t="s">
        <v>205</v>
      </c>
      <c r="E75" s="80"/>
      <c r="F75" s="19"/>
      <c r="G75" s="19"/>
      <c r="H75" s="37"/>
      <c r="I75" s="55" t="s">
        <v>80</v>
      </c>
      <c r="J75" s="37"/>
      <c r="L75" s="50"/>
    </row>
    <row r="76" spans="1:12" x14ac:dyDescent="0.2">
      <c r="A76" s="39" t="s">
        <v>81</v>
      </c>
      <c r="B76" s="20"/>
      <c r="C76" s="19"/>
      <c r="D76" s="19"/>
      <c r="E76" s="80"/>
      <c r="F76" s="19"/>
      <c r="G76" s="19"/>
      <c r="H76" s="37"/>
      <c r="I76" s="37"/>
      <c r="J76" s="19"/>
    </row>
    <row r="77" spans="1:12" x14ac:dyDescent="0.2">
      <c r="A77" s="39"/>
      <c r="B77" s="20"/>
      <c r="C77" s="19"/>
      <c r="D77" s="19"/>
      <c r="E77" s="80"/>
      <c r="F77" s="19"/>
      <c r="G77" s="19"/>
    </row>
    <row r="78" spans="1:12" x14ac:dyDescent="0.2">
      <c r="A78" s="56" t="s">
        <v>82</v>
      </c>
      <c r="B78" s="20"/>
      <c r="C78" s="19"/>
      <c r="D78" s="19"/>
      <c r="E78" s="80"/>
      <c r="F78" s="19"/>
      <c r="G78" s="19"/>
      <c r="H78" s="55" t="s">
        <v>83</v>
      </c>
      <c r="I78" s="54">
        <v>0.42052568460410922</v>
      </c>
      <c r="J78" s="2" t="s">
        <v>84</v>
      </c>
    </row>
    <row r="79" spans="1:12" x14ac:dyDescent="0.2">
      <c r="A79" s="57" t="s">
        <v>85</v>
      </c>
      <c r="B79" s="19"/>
      <c r="D79" s="19"/>
      <c r="E79" s="80"/>
      <c r="F79" s="19"/>
      <c r="G79" s="19"/>
      <c r="H79" s="58"/>
      <c r="I79" s="33"/>
      <c r="J79" s="33"/>
    </row>
    <row r="80" spans="1:12" x14ac:dyDescent="0.2">
      <c r="A80" s="57" t="s">
        <v>86</v>
      </c>
      <c r="B80" s="20"/>
      <c r="C80" s="19"/>
      <c r="D80" s="19"/>
      <c r="E80" s="80"/>
      <c r="F80" s="19"/>
      <c r="G80" s="19"/>
      <c r="H80" s="58"/>
      <c r="I80" s="33"/>
      <c r="J80" s="33"/>
    </row>
    <row r="81" spans="1:22" ht="13.5" customHeight="1" x14ac:dyDescent="0.2">
      <c r="A81" s="39" t="s">
        <v>87</v>
      </c>
      <c r="B81" s="33"/>
      <c r="C81" s="33"/>
      <c r="D81" s="33"/>
      <c r="E81" s="83"/>
      <c r="F81" s="33"/>
      <c r="G81" s="33"/>
      <c r="H81" s="55"/>
      <c r="I81" s="37"/>
      <c r="J81" s="37"/>
      <c r="L81" s="50"/>
    </row>
    <row r="82" spans="1:22" s="33" customFormat="1" x14ac:dyDescent="0.2">
      <c r="A82" s="39"/>
      <c r="E82" s="83"/>
      <c r="H82" s="1"/>
      <c r="I82" s="2"/>
      <c r="J82" s="2"/>
      <c r="L82" s="34"/>
      <c r="M82" s="34"/>
      <c r="N82" s="34"/>
      <c r="O82" s="34"/>
      <c r="P82" s="34"/>
      <c r="Q82" s="34"/>
      <c r="R82" s="34"/>
      <c r="S82" s="34"/>
      <c r="T82" s="34"/>
      <c r="U82" s="34"/>
      <c r="V82" s="34"/>
    </row>
    <row r="83" spans="1:22" s="33" customFormat="1" x14ac:dyDescent="0.2">
      <c r="A83" s="59" t="s">
        <v>88</v>
      </c>
      <c r="E83" s="83"/>
      <c r="H83" s="55" t="s">
        <v>89</v>
      </c>
      <c r="I83" s="54">
        <v>0.84105136920821844</v>
      </c>
      <c r="J83" s="2" t="s">
        <v>84</v>
      </c>
      <c r="L83" s="34"/>
      <c r="M83" s="34"/>
      <c r="N83" s="34"/>
      <c r="O83" s="34"/>
      <c r="P83" s="34"/>
      <c r="Q83" s="34"/>
      <c r="R83" s="34"/>
      <c r="S83" s="34"/>
      <c r="T83" s="34"/>
      <c r="U83" s="34"/>
      <c r="V83" s="34"/>
    </row>
    <row r="84" spans="1:22" s="33" customFormat="1" x14ac:dyDescent="0.2">
      <c r="A84" s="57" t="s">
        <v>90</v>
      </c>
      <c r="B84" s="20"/>
      <c r="C84" s="19"/>
      <c r="D84" s="19"/>
      <c r="E84" s="80"/>
      <c r="F84" s="19"/>
      <c r="G84" s="19"/>
      <c r="H84" s="58"/>
      <c r="L84" s="34"/>
      <c r="M84" s="34"/>
      <c r="N84" s="34"/>
      <c r="O84" s="34"/>
      <c r="P84" s="34"/>
      <c r="Q84" s="34"/>
      <c r="R84" s="34"/>
      <c r="S84" s="34"/>
      <c r="T84" s="34"/>
      <c r="U84" s="34"/>
      <c r="V84" s="34"/>
    </row>
    <row r="85" spans="1:22" x14ac:dyDescent="0.2">
      <c r="A85" s="57" t="s">
        <v>91</v>
      </c>
      <c r="B85" s="19"/>
      <c r="C85" s="19"/>
      <c r="D85" s="19"/>
      <c r="E85" s="80"/>
      <c r="F85" s="19"/>
      <c r="G85" s="19"/>
      <c r="H85" s="58"/>
      <c r="I85" s="33"/>
      <c r="J85" s="33"/>
    </row>
    <row r="86" spans="1:22" x14ac:dyDescent="0.2">
      <c r="A86" s="39" t="s">
        <v>92</v>
      </c>
      <c r="B86" s="33"/>
      <c r="C86" s="33"/>
      <c r="D86" s="33"/>
      <c r="E86" s="83"/>
      <c r="F86" s="33"/>
      <c r="G86" s="33"/>
      <c r="H86" s="55"/>
      <c r="I86" s="37"/>
      <c r="J86" s="37"/>
      <c r="L86" s="60"/>
    </row>
    <row r="87" spans="1:22" x14ac:dyDescent="0.2">
      <c r="A87" s="39"/>
      <c r="B87" s="33"/>
      <c r="C87" s="33"/>
      <c r="D87" s="33"/>
      <c r="E87" s="83"/>
      <c r="F87" s="33"/>
      <c r="G87" s="33"/>
      <c r="H87" s="1"/>
      <c r="L87" s="60"/>
    </row>
    <row r="88" spans="1:22" s="33" customFormat="1" x14ac:dyDescent="0.2">
      <c r="A88" s="59" t="s">
        <v>93</v>
      </c>
      <c r="E88" s="83"/>
      <c r="H88" s="55" t="s">
        <v>94</v>
      </c>
      <c r="I88" s="54">
        <v>1.2615770538123277</v>
      </c>
      <c r="J88" s="2" t="s">
        <v>84</v>
      </c>
      <c r="L88" s="34"/>
      <c r="M88" s="34"/>
      <c r="N88" s="34"/>
      <c r="O88" s="34"/>
      <c r="P88" s="34"/>
      <c r="Q88" s="34"/>
      <c r="R88" s="34"/>
      <c r="S88" s="34"/>
      <c r="T88" s="34"/>
      <c r="U88" s="34"/>
      <c r="V88" s="34"/>
    </row>
    <row r="89" spans="1:22" s="33" customFormat="1" x14ac:dyDescent="0.2">
      <c r="A89" s="57" t="s">
        <v>95</v>
      </c>
      <c r="B89" s="20"/>
      <c r="C89" s="19"/>
      <c r="D89" s="19"/>
      <c r="E89" s="80"/>
      <c r="F89" s="19"/>
      <c r="G89" s="19"/>
      <c r="H89" s="58"/>
      <c r="L89" s="34"/>
      <c r="M89" s="34"/>
      <c r="N89" s="34"/>
      <c r="O89" s="34"/>
      <c r="P89" s="34"/>
      <c r="Q89" s="34"/>
      <c r="R89" s="34"/>
      <c r="S89" s="34"/>
      <c r="T89" s="34"/>
      <c r="U89" s="34"/>
      <c r="V89" s="34"/>
    </row>
    <row r="90" spans="1:22" x14ac:dyDescent="0.2">
      <c r="A90" s="57" t="s">
        <v>91</v>
      </c>
      <c r="B90" s="20"/>
      <c r="C90" s="19"/>
      <c r="D90" s="19"/>
      <c r="E90" s="80"/>
      <c r="F90" s="19"/>
      <c r="G90" s="19"/>
      <c r="H90" s="58"/>
      <c r="I90" s="33"/>
      <c r="J90" s="33"/>
    </row>
    <row r="91" spans="1:22" x14ac:dyDescent="0.2">
      <c r="A91" s="57" t="s">
        <v>92</v>
      </c>
      <c r="B91" s="20"/>
      <c r="C91" s="19"/>
      <c r="D91" s="19"/>
      <c r="E91" s="80"/>
      <c r="F91" s="19"/>
      <c r="G91" s="19"/>
      <c r="H91" s="55"/>
      <c r="I91" s="37"/>
      <c r="J91" s="37"/>
    </row>
    <row r="92" spans="1:22" x14ac:dyDescent="0.2">
      <c r="A92" s="19"/>
      <c r="B92" s="33"/>
      <c r="C92" s="33"/>
      <c r="D92" s="33"/>
      <c r="E92" s="83"/>
      <c r="F92" s="33"/>
      <c r="G92" s="33"/>
      <c r="H92" s="1"/>
      <c r="L92" s="60"/>
    </row>
    <row r="93" spans="1:22" s="33" customFormat="1" x14ac:dyDescent="0.2">
      <c r="A93" s="59" t="s">
        <v>96</v>
      </c>
      <c r="E93" s="83"/>
      <c r="H93" s="55" t="s">
        <v>97</v>
      </c>
      <c r="I93" s="54">
        <v>1.6821027384164369</v>
      </c>
      <c r="J93" s="2" t="s">
        <v>84</v>
      </c>
      <c r="L93" s="34"/>
      <c r="M93" s="34"/>
      <c r="N93" s="34"/>
      <c r="O93" s="34"/>
      <c r="P93" s="34"/>
      <c r="Q93" s="34"/>
      <c r="R93" s="34"/>
      <c r="S93" s="34"/>
      <c r="T93" s="34"/>
      <c r="U93" s="34"/>
      <c r="V93" s="34"/>
    </row>
    <row r="94" spans="1:22" s="33" customFormat="1" x14ac:dyDescent="0.2">
      <c r="A94" s="39" t="s">
        <v>98</v>
      </c>
      <c r="B94" s="20"/>
      <c r="C94" s="39"/>
      <c r="D94" s="19"/>
      <c r="E94" s="80"/>
      <c r="F94" s="19"/>
      <c r="G94" s="19"/>
      <c r="H94" s="55"/>
      <c r="I94" s="61"/>
      <c r="J94" s="2"/>
      <c r="L94" s="34"/>
      <c r="M94" s="34"/>
      <c r="N94" s="34"/>
      <c r="O94" s="34"/>
      <c r="P94" s="34"/>
      <c r="Q94" s="34"/>
      <c r="R94" s="34"/>
      <c r="S94" s="34"/>
      <c r="T94" s="34"/>
      <c r="U94" s="34"/>
      <c r="V94" s="34"/>
    </row>
    <row r="95" spans="1:22" x14ac:dyDescent="0.2">
      <c r="A95" s="39" t="s">
        <v>99</v>
      </c>
      <c r="B95" s="20"/>
      <c r="C95" s="39"/>
      <c r="D95" s="19"/>
      <c r="E95" s="80"/>
      <c r="F95" s="19"/>
      <c r="G95" s="19"/>
      <c r="H95" s="55"/>
      <c r="I95" s="61"/>
    </row>
    <row r="96" spans="1:22" x14ac:dyDescent="0.2">
      <c r="A96" s="19" t="s">
        <v>100</v>
      </c>
      <c r="B96" s="33"/>
      <c r="C96" s="33"/>
      <c r="D96" s="33"/>
      <c r="E96" s="83"/>
      <c r="F96" s="33"/>
      <c r="G96" s="33"/>
      <c r="H96" s="55"/>
      <c r="I96" s="61"/>
      <c r="L96" s="60"/>
    </row>
    <row r="97" spans="1:12" x14ac:dyDescent="0.2">
      <c r="A97" s="19"/>
      <c r="B97" s="33"/>
      <c r="C97" s="33"/>
      <c r="D97" s="33"/>
      <c r="E97" s="83"/>
      <c r="F97" s="33"/>
      <c r="G97" s="33"/>
      <c r="H97" s="55"/>
      <c r="I97" s="61"/>
      <c r="L97" s="60"/>
    </row>
    <row r="98" spans="1:12" x14ac:dyDescent="0.2">
      <c r="A98" s="62" t="s">
        <v>101</v>
      </c>
      <c r="B98" s="33"/>
      <c r="C98" s="33"/>
      <c r="D98" s="33"/>
      <c r="E98" s="83"/>
      <c r="F98" s="33"/>
      <c r="G98" s="33"/>
      <c r="H98" s="55"/>
      <c r="I98" s="61"/>
      <c r="L98" s="60"/>
    </row>
    <row r="99" spans="1:12" x14ac:dyDescent="0.2">
      <c r="A99" s="19" t="s">
        <v>102</v>
      </c>
      <c r="B99" s="33"/>
      <c r="C99" s="33"/>
      <c r="D99" s="33"/>
      <c r="E99" s="83"/>
      <c r="F99" s="33"/>
      <c r="G99" s="33"/>
      <c r="H99" s="55"/>
      <c r="I99" s="61"/>
      <c r="L99" s="60"/>
    </row>
    <row r="100" spans="1:12" x14ac:dyDescent="0.2">
      <c r="A100" s="19" t="s">
        <v>103</v>
      </c>
      <c r="B100" s="33"/>
      <c r="C100" s="33"/>
      <c r="D100" s="33"/>
      <c r="E100" s="83"/>
      <c r="F100" s="33"/>
      <c r="G100" s="33"/>
      <c r="H100" s="55"/>
      <c r="I100" s="61"/>
      <c r="L100" s="60"/>
    </row>
    <row r="101" spans="1:12" x14ac:dyDescent="0.2">
      <c r="A101" s="19" t="s">
        <v>104</v>
      </c>
      <c r="B101" s="33"/>
      <c r="C101" s="33"/>
      <c r="D101" s="33"/>
      <c r="E101" s="83"/>
      <c r="F101" s="33"/>
      <c r="G101" s="33"/>
      <c r="H101" s="55"/>
      <c r="I101" s="61"/>
      <c r="L101" s="60"/>
    </row>
    <row r="102" spans="1:12" x14ac:dyDescent="0.2">
      <c r="A102" s="19" t="s">
        <v>216</v>
      </c>
      <c r="B102" s="33"/>
      <c r="C102" s="33"/>
      <c r="D102" s="33"/>
      <c r="E102" s="83"/>
      <c r="F102" s="33"/>
      <c r="G102" s="33"/>
      <c r="H102" s="55"/>
      <c r="I102" s="61"/>
      <c r="L102" s="60"/>
    </row>
    <row r="103" spans="1:12" x14ac:dyDescent="0.2">
      <c r="A103" s="19"/>
      <c r="B103" s="33"/>
      <c r="C103" s="33"/>
      <c r="D103" s="33"/>
      <c r="E103" s="83"/>
      <c r="F103" s="33"/>
      <c r="G103" s="33"/>
      <c r="H103" s="55"/>
      <c r="I103" s="61"/>
      <c r="L103" s="60"/>
    </row>
    <row r="104" spans="1:12" x14ac:dyDescent="0.2">
      <c r="A104" s="59" t="s">
        <v>106</v>
      </c>
      <c r="B104" s="33"/>
      <c r="C104" s="33"/>
      <c r="D104" s="33"/>
      <c r="E104" s="83"/>
      <c r="F104" s="33"/>
      <c r="G104" s="33"/>
      <c r="H104" s="55" t="s">
        <v>107</v>
      </c>
      <c r="I104" s="54">
        <v>2.1026284230205459</v>
      </c>
      <c r="J104" s="2" t="s">
        <v>84</v>
      </c>
      <c r="L104" s="60"/>
    </row>
    <row r="105" spans="1:12" x14ac:dyDescent="0.2">
      <c r="A105" s="19" t="s">
        <v>108</v>
      </c>
      <c r="B105" s="33"/>
      <c r="C105" s="33"/>
      <c r="D105" s="33"/>
      <c r="E105" s="83"/>
      <c r="F105" s="33"/>
      <c r="G105" s="33"/>
      <c r="H105" s="55"/>
      <c r="I105" s="61"/>
      <c r="L105" s="60"/>
    </row>
    <row r="106" spans="1:12" x14ac:dyDescent="0.2">
      <c r="A106" s="19" t="s">
        <v>99</v>
      </c>
      <c r="B106" s="33"/>
      <c r="C106" s="33"/>
      <c r="D106" s="33"/>
      <c r="E106" s="83"/>
      <c r="F106" s="33"/>
      <c r="G106" s="33"/>
      <c r="H106" s="55"/>
      <c r="I106" s="61"/>
      <c r="L106" s="60"/>
    </row>
    <row r="107" spans="1:12" s="5" customFormat="1" x14ac:dyDescent="0.2">
      <c r="A107" s="19" t="s">
        <v>100</v>
      </c>
      <c r="B107" s="33"/>
      <c r="C107" s="33"/>
      <c r="D107" s="33"/>
      <c r="E107" s="83"/>
      <c r="F107" s="33"/>
      <c r="G107" s="33"/>
      <c r="H107" s="55"/>
      <c r="I107" s="61"/>
      <c r="J107" s="2"/>
      <c r="K107" s="2"/>
      <c r="L107" s="60"/>
    </row>
    <row r="108" spans="1:12" s="5" customFormat="1" ht="13.5" customHeight="1" x14ac:dyDescent="0.2">
      <c r="A108" s="19"/>
      <c r="B108" s="33"/>
      <c r="C108" s="33"/>
      <c r="D108" s="33"/>
      <c r="E108" s="83"/>
      <c r="F108" s="33"/>
      <c r="G108" s="33"/>
      <c r="H108" s="55"/>
      <c r="I108" s="61"/>
      <c r="J108" s="2"/>
      <c r="K108" s="2"/>
      <c r="L108" s="60"/>
    </row>
    <row r="109" spans="1:12" s="5" customFormat="1" ht="13.5" customHeight="1" x14ac:dyDescent="0.2">
      <c r="A109" s="59" t="s">
        <v>109</v>
      </c>
      <c r="B109" s="33"/>
      <c r="C109" s="33"/>
      <c r="D109" s="33"/>
      <c r="E109" s="83"/>
      <c r="F109" s="33"/>
      <c r="G109" s="33"/>
      <c r="H109" s="55" t="s">
        <v>110</v>
      </c>
      <c r="I109" s="54">
        <v>2.5231541076246553</v>
      </c>
      <c r="J109" s="2" t="s">
        <v>84</v>
      </c>
      <c r="K109" s="2"/>
      <c r="L109" s="60"/>
    </row>
    <row r="110" spans="1:12" s="5" customFormat="1" ht="13.5" customHeight="1" x14ac:dyDescent="0.2">
      <c r="A110" s="19" t="s">
        <v>111</v>
      </c>
      <c r="B110" s="33"/>
      <c r="C110" s="33"/>
      <c r="D110" s="33"/>
      <c r="E110" s="83"/>
      <c r="F110" s="33"/>
      <c r="G110" s="33"/>
      <c r="H110" s="55" t="s">
        <v>112</v>
      </c>
      <c r="I110" s="61"/>
      <c r="J110" s="2"/>
      <c r="K110" s="2"/>
      <c r="L110" s="60"/>
    </row>
    <row r="111" spans="1:12" s="5" customFormat="1" ht="13.5" customHeight="1" x14ac:dyDescent="0.2">
      <c r="A111" s="19" t="s">
        <v>99</v>
      </c>
      <c r="B111" s="33"/>
      <c r="C111" s="33"/>
      <c r="D111" s="33"/>
      <c r="E111" s="83"/>
      <c r="F111" s="33"/>
      <c r="G111" s="33"/>
      <c r="H111" s="55"/>
      <c r="I111" s="61"/>
      <c r="J111" s="2"/>
      <c r="K111" s="2"/>
      <c r="L111" s="60"/>
    </row>
    <row r="112" spans="1:12" s="5" customFormat="1" ht="13.5" customHeight="1" x14ac:dyDescent="0.2">
      <c r="A112" s="19" t="s">
        <v>100</v>
      </c>
      <c r="B112" s="33"/>
      <c r="C112" s="33"/>
      <c r="D112" s="33"/>
      <c r="E112" s="83"/>
      <c r="F112" s="33"/>
      <c r="G112" s="33"/>
      <c r="H112" s="55"/>
      <c r="I112" s="61"/>
      <c r="J112" s="2"/>
      <c r="K112" s="2"/>
      <c r="L112" s="60"/>
    </row>
    <row r="113" spans="1:12" s="5" customFormat="1" ht="12.75" customHeight="1" x14ac:dyDescent="0.2">
      <c r="A113" s="19"/>
      <c r="B113" s="33"/>
      <c r="C113" s="33"/>
      <c r="D113" s="33"/>
      <c r="E113" s="83"/>
      <c r="F113" s="33"/>
      <c r="G113" s="33"/>
      <c r="H113" s="55"/>
      <c r="I113" s="61"/>
      <c r="J113" s="2"/>
      <c r="K113" s="2"/>
      <c r="L113" s="60"/>
    </row>
    <row r="114" spans="1:12" s="5" customFormat="1" x14ac:dyDescent="0.2">
      <c r="A114" s="59" t="s">
        <v>113</v>
      </c>
      <c r="B114" s="33"/>
      <c r="C114" s="33"/>
      <c r="D114" s="33"/>
      <c r="E114" s="83"/>
      <c r="F114" s="33"/>
      <c r="G114" s="33"/>
      <c r="H114" s="55" t="s">
        <v>114</v>
      </c>
      <c r="I114" s="54">
        <v>2.9436797922287647</v>
      </c>
      <c r="J114" s="2" t="s">
        <v>84</v>
      </c>
      <c r="K114" s="2"/>
      <c r="L114" s="60"/>
    </row>
    <row r="115" spans="1:12" s="5" customFormat="1" x14ac:dyDescent="0.2">
      <c r="A115" s="19" t="s">
        <v>115</v>
      </c>
      <c r="B115" s="33"/>
      <c r="C115" s="33"/>
      <c r="D115" s="33"/>
      <c r="E115" s="83"/>
      <c r="F115" s="33"/>
      <c r="G115" s="33"/>
      <c r="K115" s="2"/>
      <c r="L115" s="60"/>
    </row>
    <row r="116" spans="1:12" s="5" customFormat="1" x14ac:dyDescent="0.2">
      <c r="A116" s="19" t="s">
        <v>99</v>
      </c>
      <c r="B116" s="33"/>
      <c r="C116" s="33"/>
      <c r="D116" s="33"/>
      <c r="E116" s="83"/>
      <c r="F116" s="33"/>
      <c r="G116" s="33"/>
      <c r="K116" s="2"/>
      <c r="L116" s="60"/>
    </row>
    <row r="117" spans="1:12" s="5" customFormat="1" x14ac:dyDescent="0.2">
      <c r="A117" s="19" t="s">
        <v>100</v>
      </c>
      <c r="B117" s="33"/>
      <c r="C117" s="33"/>
      <c r="D117" s="33"/>
      <c r="E117" s="83"/>
      <c r="F117" s="33"/>
      <c r="G117" s="33"/>
      <c r="K117" s="2"/>
      <c r="L117" s="60"/>
    </row>
    <row r="118" spans="1:12" s="5" customFormat="1" x14ac:dyDescent="0.2">
      <c r="A118" s="19"/>
      <c r="B118" s="33"/>
      <c r="C118" s="33"/>
      <c r="D118" s="33"/>
      <c r="E118" s="83"/>
      <c r="F118" s="33"/>
      <c r="G118" s="33"/>
      <c r="H118" s="37"/>
      <c r="I118" s="61"/>
      <c r="J118" s="2"/>
      <c r="K118" s="2"/>
      <c r="L118" s="60"/>
    </row>
    <row r="119" spans="1:12" s="5" customFormat="1" x14ac:dyDescent="0.2">
      <c r="A119" s="19"/>
      <c r="B119" s="20"/>
      <c r="C119" s="39" t="s">
        <v>116</v>
      </c>
      <c r="D119" s="19"/>
      <c r="E119" s="80"/>
      <c r="F119" s="19"/>
      <c r="G119" s="19" t="s">
        <v>117</v>
      </c>
      <c r="H119" s="37"/>
      <c r="I119" s="37"/>
      <c r="J119" s="37"/>
      <c r="K119" s="2"/>
    </row>
    <row r="120" spans="1:12" s="5" customFormat="1" x14ac:dyDescent="0.2">
      <c r="A120" s="19"/>
      <c r="B120" s="20"/>
      <c r="C120" s="39" t="s">
        <v>118</v>
      </c>
      <c r="D120" s="19"/>
      <c r="E120" s="80"/>
      <c r="F120" s="19"/>
      <c r="G120" s="19" t="s">
        <v>119</v>
      </c>
      <c r="H120" s="37"/>
      <c r="I120" s="37"/>
      <c r="J120" s="37"/>
      <c r="K120" s="2"/>
    </row>
    <row r="121" spans="1:12" s="5" customFormat="1" x14ac:dyDescent="0.2">
      <c r="A121" s="19"/>
      <c r="B121" s="20"/>
      <c r="C121" s="39" t="s">
        <v>120</v>
      </c>
      <c r="D121" s="19"/>
      <c r="E121" s="80"/>
      <c r="F121" s="19"/>
      <c r="G121" s="19" t="s">
        <v>121</v>
      </c>
      <c r="H121" s="37"/>
      <c r="I121" s="37"/>
      <c r="J121" s="37"/>
      <c r="K121" s="2"/>
    </row>
    <row r="122" spans="1:12" s="5" customFormat="1" x14ac:dyDescent="0.2">
      <c r="A122" s="19"/>
      <c r="B122" s="20"/>
      <c r="C122" s="39" t="s">
        <v>122</v>
      </c>
      <c r="D122" s="19"/>
      <c r="E122" s="80"/>
      <c r="F122" s="19"/>
      <c r="G122" s="19" t="s">
        <v>123</v>
      </c>
      <c r="H122" s="37"/>
      <c r="I122" s="37"/>
      <c r="J122" s="37"/>
      <c r="K122" s="2"/>
    </row>
    <row r="123" spans="1:12" s="5" customFormat="1" x14ac:dyDescent="0.2">
      <c r="A123" s="39"/>
      <c r="B123" s="20"/>
      <c r="C123" s="39" t="s">
        <v>124</v>
      </c>
      <c r="D123" s="19"/>
      <c r="E123" s="80"/>
      <c r="F123" s="19"/>
      <c r="G123" s="19" t="s">
        <v>125</v>
      </c>
      <c r="H123" s="37"/>
      <c r="I123" s="37"/>
      <c r="J123" s="37"/>
      <c r="K123" s="2"/>
    </row>
    <row r="124" spans="1:12" s="5" customFormat="1" x14ac:dyDescent="0.2">
      <c r="A124" s="39"/>
      <c r="B124" s="20"/>
      <c r="C124" s="39" t="s">
        <v>126</v>
      </c>
      <c r="D124" s="19"/>
      <c r="E124" s="80"/>
      <c r="F124" s="19"/>
      <c r="G124" s="19" t="s">
        <v>127</v>
      </c>
      <c r="H124" s="37"/>
      <c r="I124" s="37"/>
      <c r="J124" s="37"/>
      <c r="K124" s="2"/>
    </row>
    <row r="125" spans="1:12" s="5" customFormat="1" x14ac:dyDescent="0.2">
      <c r="A125" s="39"/>
      <c r="B125" s="20"/>
      <c r="C125" s="19" t="s">
        <v>128</v>
      </c>
      <c r="D125" s="19"/>
      <c r="E125" s="80"/>
      <c r="F125" s="19"/>
      <c r="G125" s="19" t="s">
        <v>129</v>
      </c>
      <c r="H125" s="37"/>
      <c r="I125" s="37"/>
      <c r="J125" s="37"/>
      <c r="K125" s="2"/>
    </row>
    <row r="126" spans="1:12" s="5" customFormat="1" x14ac:dyDescent="0.2">
      <c r="A126" s="39"/>
      <c r="B126" s="20"/>
      <c r="C126" s="19" t="s">
        <v>130</v>
      </c>
      <c r="D126" s="19"/>
      <c r="E126" s="80"/>
      <c r="F126" s="19"/>
      <c r="G126" s="19" t="s">
        <v>131</v>
      </c>
      <c r="H126" s="37"/>
      <c r="I126" s="37"/>
      <c r="J126" s="37"/>
      <c r="K126" s="2"/>
    </row>
    <row r="127" spans="1:12" s="5" customFormat="1" x14ac:dyDescent="0.2">
      <c r="A127" s="39"/>
      <c r="B127" s="20"/>
      <c r="C127" s="19"/>
      <c r="D127" s="19"/>
      <c r="E127" s="80"/>
      <c r="F127" s="19"/>
      <c r="G127" s="19"/>
      <c r="H127" s="37"/>
      <c r="I127" s="37"/>
      <c r="J127" s="37"/>
      <c r="K127" s="2"/>
    </row>
    <row r="128" spans="1:12" s="5" customFormat="1" x14ac:dyDescent="0.2">
      <c r="A128" s="39"/>
      <c r="B128" s="20"/>
      <c r="C128" s="19" t="s">
        <v>132</v>
      </c>
      <c r="D128" s="19"/>
      <c r="E128" s="80"/>
      <c r="F128" s="19"/>
      <c r="G128" s="19" t="s">
        <v>133</v>
      </c>
      <c r="H128" s="37"/>
      <c r="I128" s="37"/>
      <c r="J128" s="37"/>
      <c r="K128" s="2"/>
    </row>
    <row r="129" spans="1:11" s="5" customFormat="1" x14ac:dyDescent="0.2">
      <c r="A129" s="39"/>
      <c r="B129" s="20"/>
      <c r="C129" s="19" t="s">
        <v>134</v>
      </c>
      <c r="D129" s="19"/>
      <c r="E129" s="80"/>
      <c r="F129" s="19"/>
      <c r="G129" s="19" t="s">
        <v>135</v>
      </c>
      <c r="H129" s="37"/>
      <c r="I129" s="37"/>
      <c r="J129" s="37"/>
      <c r="K129" s="2"/>
    </row>
    <row r="130" spans="1:11" s="5" customFormat="1" x14ac:dyDescent="0.2">
      <c r="A130" s="39"/>
      <c r="B130" s="20"/>
      <c r="C130" s="19" t="s">
        <v>136</v>
      </c>
      <c r="D130" s="19"/>
      <c r="E130" s="80"/>
      <c r="F130" s="19"/>
      <c r="G130" s="19" t="s">
        <v>137</v>
      </c>
      <c r="H130" s="37"/>
      <c r="I130" s="37"/>
      <c r="J130" s="37"/>
      <c r="K130" s="2"/>
    </row>
    <row r="131" spans="1:11" s="5" customFormat="1" x14ac:dyDescent="0.2">
      <c r="A131" s="39"/>
      <c r="B131" s="20"/>
      <c r="C131" s="19"/>
      <c r="D131" s="19"/>
      <c r="E131" s="80"/>
      <c r="F131" s="19"/>
      <c r="G131" s="19" t="s">
        <v>138</v>
      </c>
      <c r="H131" s="37"/>
      <c r="I131" s="37"/>
      <c r="J131" s="37"/>
      <c r="K131" s="2"/>
    </row>
    <row r="132" spans="1:11" s="5" customFormat="1" x14ac:dyDescent="0.2">
      <c r="A132" s="39"/>
      <c r="B132" s="20"/>
      <c r="C132" s="19"/>
      <c r="D132" s="19"/>
      <c r="E132" s="80"/>
      <c r="F132" s="19"/>
      <c r="G132" s="19"/>
      <c r="H132" s="37"/>
      <c r="I132" s="37"/>
      <c r="J132" s="37"/>
      <c r="K132" s="2"/>
    </row>
    <row r="133" spans="1:11" s="5" customFormat="1" x14ac:dyDescent="0.2">
      <c r="A133" s="39"/>
      <c r="B133" s="20"/>
      <c r="C133" s="19"/>
      <c r="D133" s="19"/>
      <c r="E133" s="80"/>
      <c r="F133" s="19"/>
      <c r="G133" s="19"/>
      <c r="H133" s="37"/>
      <c r="I133" s="37"/>
      <c r="J133" s="37"/>
      <c r="K133" s="2"/>
    </row>
    <row r="134" spans="1:11" s="5" customFormat="1" x14ac:dyDescent="0.2">
      <c r="A134" s="39"/>
      <c r="B134" s="20"/>
      <c r="C134" s="41" t="s">
        <v>139</v>
      </c>
      <c r="D134" s="41"/>
      <c r="E134" s="85"/>
      <c r="F134" s="41"/>
      <c r="G134" s="41"/>
      <c r="H134" s="63"/>
      <c r="I134" s="63"/>
      <c r="J134" s="63"/>
      <c r="K134" s="2"/>
    </row>
    <row r="135" spans="1:11" s="5" customFormat="1" x14ac:dyDescent="0.2">
      <c r="A135" s="39"/>
      <c r="B135" s="20"/>
      <c r="C135" s="41" t="s">
        <v>140</v>
      </c>
      <c r="D135" s="41"/>
      <c r="E135" s="85"/>
      <c r="F135" s="41"/>
      <c r="G135" s="41"/>
      <c r="H135" s="63"/>
      <c r="I135" s="63"/>
      <c r="J135" s="63"/>
      <c r="K135" s="2"/>
    </row>
    <row r="136" spans="1:11" s="5" customFormat="1" x14ac:dyDescent="0.2">
      <c r="A136" s="39"/>
      <c r="B136" s="20"/>
      <c r="C136" s="41" t="s">
        <v>141</v>
      </c>
      <c r="D136" s="41"/>
      <c r="E136" s="85"/>
      <c r="F136" s="41"/>
      <c r="G136" s="41"/>
      <c r="H136" s="63"/>
      <c r="I136" s="63"/>
      <c r="J136" s="63"/>
      <c r="K136" s="2"/>
    </row>
    <row r="137" spans="1:11" s="5" customFormat="1" x14ac:dyDescent="0.2">
      <c r="A137" s="39"/>
      <c r="B137" s="20"/>
      <c r="C137" s="41" t="s">
        <v>142</v>
      </c>
      <c r="D137" s="41"/>
      <c r="E137" s="85"/>
      <c r="F137" s="41"/>
      <c r="G137" s="41"/>
      <c r="H137" s="63"/>
      <c r="I137" s="63"/>
      <c r="J137" s="63"/>
      <c r="K137" s="2"/>
    </row>
    <row r="138" spans="1:11" s="5" customFormat="1" x14ac:dyDescent="0.2">
      <c r="A138" s="39"/>
      <c r="B138" s="20"/>
      <c r="C138" s="41" t="s">
        <v>143</v>
      </c>
      <c r="D138" s="41"/>
      <c r="E138" s="85"/>
      <c r="F138" s="41"/>
      <c r="G138" s="41"/>
      <c r="H138" s="63"/>
      <c r="I138" s="63"/>
      <c r="J138" s="63"/>
      <c r="K138" s="2"/>
    </row>
    <row r="139" spans="1:11" s="5" customFormat="1" x14ac:dyDescent="0.2">
      <c r="A139" s="39"/>
      <c r="B139" s="20"/>
      <c r="C139" s="41" t="s">
        <v>144</v>
      </c>
      <c r="D139" s="41"/>
      <c r="E139" s="85"/>
      <c r="F139" s="41"/>
      <c r="G139" s="41"/>
      <c r="H139" s="63"/>
      <c r="I139" s="63"/>
      <c r="J139" s="63"/>
      <c r="K139" s="2"/>
    </row>
    <row r="140" spans="1:11" s="5" customFormat="1" ht="13.5" customHeight="1" x14ac:dyDescent="0.2">
      <c r="A140" s="2"/>
      <c r="B140" s="2"/>
      <c r="C140" s="41" t="s">
        <v>145</v>
      </c>
      <c r="D140" s="41"/>
      <c r="E140" s="85"/>
      <c r="F140" s="41"/>
      <c r="G140" s="41"/>
      <c r="H140" s="63"/>
      <c r="I140" s="63"/>
      <c r="J140" s="63"/>
      <c r="K140" s="2"/>
    </row>
    <row r="141" spans="1:11" s="5" customFormat="1" x14ac:dyDescent="0.2">
      <c r="A141" s="2"/>
      <c r="B141" s="2"/>
      <c r="C141" s="41" t="s">
        <v>146</v>
      </c>
      <c r="D141" s="19"/>
      <c r="E141" s="80"/>
      <c r="F141" s="19"/>
      <c r="G141" s="19"/>
      <c r="H141" s="37"/>
      <c r="I141" s="37"/>
      <c r="J141" s="37"/>
      <c r="K141" s="2"/>
    </row>
    <row r="142" spans="1:11" s="5" customFormat="1" x14ac:dyDescent="0.2">
      <c r="A142" s="2"/>
      <c r="B142" s="2"/>
      <c r="C142" s="41"/>
      <c r="D142" s="19"/>
      <c r="E142" s="80"/>
      <c r="F142" s="19"/>
      <c r="G142" s="19"/>
      <c r="H142" s="37"/>
      <c r="I142" s="37"/>
      <c r="J142" s="37"/>
      <c r="K142" s="2"/>
    </row>
    <row r="143" spans="1:11" s="5" customFormat="1" x14ac:dyDescent="0.2">
      <c r="A143" s="2"/>
      <c r="B143" s="64"/>
      <c r="C143" s="64"/>
      <c r="D143" s="64"/>
      <c r="E143" s="86"/>
      <c r="F143" s="64"/>
      <c r="G143" s="64"/>
      <c r="H143" s="64"/>
      <c r="I143" s="64"/>
      <c r="J143" s="64"/>
      <c r="K143" s="64"/>
    </row>
    <row r="145" spans="1:22" x14ac:dyDescent="0.2">
      <c r="C145" s="41"/>
      <c r="D145" s="19"/>
      <c r="E145" s="80"/>
      <c r="F145" s="19"/>
      <c r="G145" s="19"/>
      <c r="H145" s="37"/>
      <c r="I145" s="37"/>
      <c r="J145" s="37"/>
    </row>
    <row r="146" spans="1:22" x14ac:dyDescent="0.2">
      <c r="A146" s="43" t="s">
        <v>147</v>
      </c>
      <c r="B146" s="33"/>
      <c r="C146" s="33"/>
      <c r="D146" s="33"/>
      <c r="E146" s="83"/>
      <c r="F146" s="33"/>
      <c r="G146" s="33"/>
      <c r="H146" s="33"/>
      <c r="I146" s="33"/>
      <c r="J146" s="33"/>
    </row>
    <row r="147" spans="1:22" s="33" customFormat="1" x14ac:dyDescent="0.2">
      <c r="A147" s="19" t="s">
        <v>228</v>
      </c>
      <c r="B147" s="20"/>
      <c r="C147" s="19"/>
      <c r="D147" s="19"/>
      <c r="E147" s="80"/>
      <c r="F147" s="19"/>
      <c r="G147" s="19"/>
      <c r="H147" s="2"/>
      <c r="I147" s="54">
        <f>'01 01 2017'!I147*1.025</f>
        <v>0.95935137856445263</v>
      </c>
      <c r="J147" s="33" t="s">
        <v>149</v>
      </c>
      <c r="L147" s="45"/>
      <c r="M147" s="34"/>
      <c r="N147" s="34"/>
      <c r="O147" s="34"/>
      <c r="P147" s="34"/>
      <c r="Q147" s="34"/>
      <c r="R147" s="34"/>
      <c r="S147" s="34"/>
      <c r="T147" s="34"/>
      <c r="U147" s="34"/>
      <c r="V147" s="34"/>
    </row>
    <row r="148" spans="1:22" x14ac:dyDescent="0.2">
      <c r="A148" s="19" t="s">
        <v>150</v>
      </c>
      <c r="B148" s="20"/>
      <c r="C148" s="19"/>
      <c r="D148" s="19"/>
      <c r="E148" s="80"/>
      <c r="F148" s="19"/>
      <c r="G148" s="19"/>
      <c r="I148" s="54">
        <f>'01 01 2017'!I148*1.025</f>
        <v>0.95935137856445263</v>
      </c>
      <c r="J148" s="33" t="s">
        <v>151</v>
      </c>
    </row>
    <row r="149" spans="1:22" x14ac:dyDescent="0.2">
      <c r="A149" s="19" t="s">
        <v>152</v>
      </c>
      <c r="B149" s="33"/>
      <c r="C149" s="33"/>
      <c r="D149" s="33"/>
      <c r="E149" s="83"/>
      <c r="F149" s="33"/>
      <c r="G149" s="33"/>
      <c r="H149" s="33"/>
      <c r="I149" s="33"/>
      <c r="J149" s="33"/>
    </row>
    <row r="150" spans="1:22" s="33" customFormat="1" ht="6.75" customHeight="1" x14ac:dyDescent="0.2">
      <c r="A150" s="39"/>
      <c r="E150" s="83"/>
      <c r="L150" s="45"/>
      <c r="M150" s="34"/>
      <c r="N150" s="34"/>
      <c r="O150" s="34"/>
      <c r="P150" s="34"/>
      <c r="Q150" s="34"/>
      <c r="R150" s="34"/>
      <c r="S150" s="34"/>
      <c r="T150" s="34"/>
      <c r="U150" s="34"/>
      <c r="V150" s="34"/>
    </row>
    <row r="151" spans="1:22" s="33" customFormat="1" x14ac:dyDescent="0.2">
      <c r="A151" s="43" t="s">
        <v>153</v>
      </c>
      <c r="B151" s="20"/>
      <c r="C151" s="19"/>
      <c r="D151" s="19"/>
      <c r="E151" s="80"/>
      <c r="F151" s="19"/>
      <c r="G151" s="19"/>
      <c r="H151" s="37"/>
      <c r="I151" s="37"/>
      <c r="J151" s="37"/>
      <c r="L151" s="45"/>
      <c r="M151" s="34"/>
      <c r="N151" s="34"/>
      <c r="O151" s="34"/>
      <c r="P151" s="34"/>
      <c r="Q151" s="34"/>
      <c r="R151" s="34"/>
      <c r="S151" s="34"/>
      <c r="T151" s="34"/>
      <c r="U151" s="34"/>
      <c r="V151" s="34"/>
    </row>
    <row r="152" spans="1:22" x14ac:dyDescent="0.2">
      <c r="A152" s="33" t="s">
        <v>154</v>
      </c>
      <c r="B152" s="20"/>
      <c r="C152" s="19"/>
      <c r="D152" s="19"/>
      <c r="E152" s="80"/>
      <c r="F152" s="19"/>
      <c r="G152" s="19"/>
      <c r="H152" s="37"/>
      <c r="I152" s="37"/>
      <c r="J152" s="37"/>
    </row>
    <row r="153" spans="1:22" x14ac:dyDescent="0.2">
      <c r="A153" s="52">
        <f>'01 01 2017'!A153*1.025</f>
        <v>0.46147871233361587</v>
      </c>
      <c r="B153" s="66" t="s">
        <v>155</v>
      </c>
      <c r="C153" s="33"/>
      <c r="D153" s="33"/>
      <c r="E153" s="83"/>
      <c r="F153" s="33"/>
      <c r="G153" s="33"/>
      <c r="H153" s="33"/>
      <c r="I153" s="33"/>
      <c r="J153" s="37"/>
    </row>
    <row r="154" spans="1:22" x14ac:dyDescent="0.2">
      <c r="A154" s="67" t="s">
        <v>156</v>
      </c>
      <c r="B154" s="33"/>
      <c r="C154" s="33"/>
      <c r="D154" s="33"/>
      <c r="E154" s="83"/>
      <c r="F154" s="33"/>
      <c r="G154" s="33"/>
      <c r="H154" s="33"/>
      <c r="I154" s="33"/>
      <c r="J154" s="33"/>
    </row>
    <row r="155" spans="1:22" s="33" customFormat="1" x14ac:dyDescent="0.2">
      <c r="A155" s="67" t="s">
        <v>157</v>
      </c>
      <c r="E155" s="83"/>
      <c r="L155" s="34"/>
      <c r="M155" s="34"/>
      <c r="N155" s="34"/>
      <c r="O155" s="34"/>
      <c r="P155" s="34"/>
      <c r="Q155" s="34"/>
      <c r="R155" s="34"/>
      <c r="S155" s="34"/>
      <c r="T155" s="34"/>
      <c r="U155" s="34"/>
      <c r="V155" s="34"/>
    </row>
    <row r="156" spans="1:22" s="33" customFormat="1" x14ac:dyDescent="0.2">
      <c r="A156" s="39"/>
      <c r="B156" s="66"/>
      <c r="C156" s="66"/>
      <c r="E156" s="83"/>
      <c r="L156" s="45"/>
      <c r="M156" s="34"/>
      <c r="N156" s="34"/>
      <c r="O156" s="34"/>
      <c r="P156" s="34"/>
      <c r="Q156" s="34"/>
      <c r="R156" s="34"/>
      <c r="S156" s="34"/>
      <c r="T156" s="34"/>
      <c r="U156" s="34"/>
      <c r="V156" s="34"/>
    </row>
    <row r="157" spans="1:22" s="33" customFormat="1" x14ac:dyDescent="0.2">
      <c r="A157" s="56" t="s">
        <v>158</v>
      </c>
      <c r="E157" s="83"/>
      <c r="L157" s="34"/>
      <c r="M157" s="34"/>
      <c r="N157" s="34"/>
      <c r="O157" s="34"/>
      <c r="P157" s="34"/>
      <c r="Q157" s="34"/>
      <c r="R157" s="34"/>
      <c r="S157" s="34"/>
      <c r="T157" s="34"/>
      <c r="U157" s="34"/>
      <c r="V157" s="34"/>
    </row>
    <row r="158" spans="1:22" s="33" customFormat="1" x14ac:dyDescent="0.2">
      <c r="A158" s="33" t="s">
        <v>159</v>
      </c>
      <c r="B158" s="20"/>
      <c r="C158" s="68"/>
      <c r="D158" s="19"/>
      <c r="E158" s="80"/>
      <c r="F158" s="19"/>
      <c r="G158" s="19"/>
      <c r="I158" s="37"/>
      <c r="J158" s="37"/>
      <c r="L158" s="34"/>
      <c r="M158" s="34"/>
      <c r="N158" s="34"/>
      <c r="O158" s="34"/>
      <c r="P158" s="34"/>
      <c r="Q158" s="34"/>
      <c r="R158" s="34"/>
      <c r="S158" s="34"/>
      <c r="T158" s="34"/>
      <c r="U158" s="34"/>
      <c r="V158" s="34"/>
    </row>
    <row r="159" spans="1:22" x14ac:dyDescent="0.2">
      <c r="A159" s="33" t="s">
        <v>160</v>
      </c>
      <c r="B159" s="19"/>
      <c r="C159" s="19"/>
      <c r="D159" s="19"/>
      <c r="E159" s="80"/>
      <c r="F159" s="19"/>
      <c r="G159" s="19"/>
      <c r="H159" s="37"/>
      <c r="I159" s="37"/>
      <c r="J159" s="37"/>
    </row>
    <row r="160" spans="1:22" x14ac:dyDescent="0.2">
      <c r="A160" s="33" t="s">
        <v>161</v>
      </c>
      <c r="B160" s="69"/>
      <c r="C160" s="41"/>
      <c r="D160" s="41"/>
      <c r="E160" s="85"/>
      <c r="F160" s="41"/>
      <c r="G160" s="41"/>
      <c r="H160" s="63"/>
      <c r="I160" s="63"/>
      <c r="J160" s="63"/>
    </row>
    <row r="161" spans="1:22" x14ac:dyDescent="0.2">
      <c r="A161" s="33" t="s">
        <v>162</v>
      </c>
      <c r="B161" s="69"/>
      <c r="C161" s="41"/>
      <c r="D161" s="41"/>
      <c r="E161" s="85"/>
      <c r="F161" s="41"/>
      <c r="G161" s="41"/>
      <c r="H161" s="63"/>
      <c r="I161" s="63"/>
      <c r="J161" s="63"/>
    </row>
    <row r="162" spans="1:22" x14ac:dyDescent="0.2">
      <c r="A162" s="33" t="s">
        <v>163</v>
      </c>
      <c r="B162" s="69"/>
      <c r="C162" s="41"/>
      <c r="D162" s="41"/>
      <c r="E162" s="85"/>
      <c r="F162" s="41"/>
      <c r="G162" s="41"/>
      <c r="H162" s="63"/>
      <c r="I162" s="63"/>
      <c r="J162" s="63"/>
    </row>
    <row r="163" spans="1:22" x14ac:dyDescent="0.2">
      <c r="A163" s="33" t="s">
        <v>164</v>
      </c>
      <c r="B163" s="69"/>
      <c r="C163" s="41"/>
      <c r="D163" s="41"/>
      <c r="E163" s="85"/>
      <c r="F163" s="41"/>
      <c r="G163" s="41"/>
      <c r="H163" s="63"/>
      <c r="I163" s="63"/>
      <c r="J163" s="63"/>
    </row>
    <row r="164" spans="1:22" x14ac:dyDescent="0.2">
      <c r="A164" s="19" t="s">
        <v>165</v>
      </c>
      <c r="B164" s="69"/>
      <c r="C164" s="41"/>
      <c r="D164" s="41"/>
      <c r="E164" s="85"/>
      <c r="F164" s="41"/>
      <c r="G164" s="41"/>
      <c r="H164" s="63"/>
      <c r="I164" s="63"/>
      <c r="J164" s="63"/>
    </row>
    <row r="165" spans="1:22" x14ac:dyDescent="0.2">
      <c r="A165" s="19"/>
      <c r="B165" s="69"/>
      <c r="C165" s="41"/>
      <c r="D165" s="41"/>
      <c r="E165" s="85"/>
      <c r="F165" s="41"/>
      <c r="G165" s="41"/>
      <c r="H165" s="63"/>
      <c r="I165" s="63"/>
      <c r="J165" s="63"/>
    </row>
    <row r="166" spans="1:22" x14ac:dyDescent="0.2">
      <c r="A166" s="70" t="s">
        <v>166</v>
      </c>
      <c r="B166" s="69"/>
      <c r="C166" s="41"/>
      <c r="D166" s="41"/>
      <c r="E166" s="85"/>
      <c r="F166" s="41"/>
      <c r="G166" s="41"/>
      <c r="H166" s="63"/>
      <c r="I166" s="63"/>
      <c r="J166" s="63"/>
    </row>
    <row r="167" spans="1:22" x14ac:dyDescent="0.2">
      <c r="A167" s="39" t="s">
        <v>167</v>
      </c>
      <c r="B167" s="69"/>
      <c r="C167" s="41"/>
      <c r="D167" s="41"/>
      <c r="E167" s="85"/>
      <c r="F167" s="41"/>
      <c r="G167" s="41"/>
      <c r="H167" s="37"/>
      <c r="I167" s="37"/>
      <c r="J167" s="37"/>
    </row>
    <row r="168" spans="1:22" x14ac:dyDescent="0.2">
      <c r="A168" s="71"/>
      <c r="B168" s="20"/>
      <c r="C168" s="19"/>
      <c r="D168" s="19"/>
      <c r="E168" s="80"/>
      <c r="F168" s="19"/>
      <c r="G168" s="19"/>
      <c r="H168" s="37"/>
      <c r="I168" s="37"/>
      <c r="J168" s="37"/>
    </row>
    <row r="169" spans="1:22" x14ac:dyDescent="0.2">
      <c r="A169" s="70" t="s">
        <v>168</v>
      </c>
      <c r="B169" s="20"/>
      <c r="C169" s="19"/>
      <c r="D169" s="19"/>
      <c r="E169" s="80"/>
      <c r="F169" s="19"/>
      <c r="G169" s="19"/>
      <c r="H169" s="37"/>
      <c r="I169" s="37"/>
      <c r="J169" s="37"/>
    </row>
    <row r="170" spans="1:22" x14ac:dyDescent="0.2">
      <c r="A170" s="90" t="s">
        <v>218</v>
      </c>
      <c r="B170" s="20"/>
      <c r="C170" s="19"/>
      <c r="D170" s="19"/>
      <c r="E170" s="80"/>
      <c r="F170" s="19"/>
      <c r="G170" s="19"/>
      <c r="H170" s="37"/>
      <c r="I170" s="37"/>
      <c r="J170" s="37"/>
    </row>
    <row r="171" spans="1:22" x14ac:dyDescent="0.2">
      <c r="A171" s="90" t="s">
        <v>219</v>
      </c>
      <c r="B171" s="20"/>
      <c r="C171" s="19"/>
      <c r="D171" s="19"/>
      <c r="E171" s="80"/>
      <c r="F171" s="19"/>
      <c r="G171" s="19"/>
      <c r="H171" s="37"/>
      <c r="I171" s="37"/>
      <c r="J171" s="37"/>
    </row>
    <row r="172" spans="1:22" x14ac:dyDescent="0.2">
      <c r="A172" s="19" t="s">
        <v>220</v>
      </c>
      <c r="B172" s="20"/>
      <c r="C172" s="19"/>
      <c r="D172" s="19"/>
      <c r="E172" s="80"/>
      <c r="F172" s="19"/>
      <c r="G172" s="19"/>
      <c r="H172" s="37"/>
      <c r="I172" s="37"/>
      <c r="J172" s="37"/>
    </row>
    <row r="173" spans="1:22" x14ac:dyDescent="0.2">
      <c r="A173" s="19" t="s">
        <v>221</v>
      </c>
      <c r="B173" s="20"/>
      <c r="C173" s="19"/>
      <c r="D173" s="19"/>
      <c r="E173" s="80"/>
      <c r="F173" s="19"/>
      <c r="G173" s="19"/>
      <c r="H173" s="37"/>
      <c r="I173" s="37"/>
      <c r="J173" s="37"/>
    </row>
    <row r="174" spans="1:22" x14ac:dyDescent="0.2">
      <c r="A174" s="70"/>
      <c r="B174" s="20"/>
      <c r="C174" s="19"/>
      <c r="D174" s="19"/>
      <c r="E174" s="80"/>
      <c r="F174" s="19"/>
      <c r="G174" s="19"/>
      <c r="H174" s="37"/>
      <c r="I174" s="37"/>
      <c r="J174" s="37"/>
    </row>
    <row r="175" spans="1:22" x14ac:dyDescent="0.2">
      <c r="A175" s="70" t="s">
        <v>171</v>
      </c>
      <c r="B175" s="33"/>
      <c r="C175" s="33"/>
      <c r="D175" s="33"/>
      <c r="E175" s="83"/>
      <c r="F175" s="33"/>
      <c r="G175" s="33"/>
      <c r="H175" s="33"/>
      <c r="I175" s="33"/>
      <c r="J175" s="33"/>
    </row>
    <row r="176" spans="1:22" s="33" customFormat="1" x14ac:dyDescent="0.2">
      <c r="A176" s="57" t="s">
        <v>217</v>
      </c>
      <c r="E176" s="83"/>
      <c r="L176" s="34"/>
      <c r="M176" s="34"/>
      <c r="N176" s="34"/>
      <c r="O176" s="34"/>
      <c r="P176" s="34"/>
      <c r="Q176" s="34"/>
      <c r="R176" s="34"/>
      <c r="S176" s="34"/>
      <c r="T176" s="34"/>
      <c r="U176" s="34"/>
      <c r="V176" s="34"/>
    </row>
    <row r="177" spans="1:22" s="33" customFormat="1" x14ac:dyDescent="0.2">
      <c r="A177" s="72" t="s">
        <v>173</v>
      </c>
      <c r="B177" s="72"/>
      <c r="C177" s="72"/>
      <c r="D177" s="72"/>
      <c r="E177" s="87"/>
      <c r="F177" s="73"/>
      <c r="G177" s="73"/>
      <c r="H177" s="37"/>
      <c r="I177" s="37"/>
      <c r="J177" s="55"/>
      <c r="L177" s="45"/>
      <c r="M177" s="34"/>
      <c r="N177" s="34"/>
      <c r="O177" s="34"/>
      <c r="P177" s="34"/>
      <c r="Q177" s="34"/>
      <c r="R177" s="34"/>
      <c r="S177" s="34"/>
      <c r="T177" s="34"/>
      <c r="U177" s="34"/>
      <c r="V177" s="34"/>
    </row>
    <row r="178" spans="1:22" x14ac:dyDescent="0.2">
      <c r="A178" s="52">
        <f>'01 01 2017'!A181*1.025</f>
        <v>0.23837195573466677</v>
      </c>
      <c r="B178" s="57" t="s">
        <v>174</v>
      </c>
      <c r="C178" s="72"/>
      <c r="D178" s="72"/>
      <c r="E178" s="87"/>
      <c r="F178" s="73"/>
      <c r="G178" s="73"/>
      <c r="H178" s="37"/>
      <c r="I178" s="37"/>
      <c r="J178" s="55"/>
    </row>
    <row r="179" spans="1:22" s="5" customFormat="1" x14ac:dyDescent="0.2">
      <c r="A179" s="52">
        <f>'01 01 2017'!A182*1.025</f>
        <v>0.40041791579074565</v>
      </c>
      <c r="B179" s="57" t="s">
        <v>175</v>
      </c>
      <c r="C179" s="72"/>
      <c r="D179" s="72"/>
      <c r="E179" s="87"/>
      <c r="F179" s="73"/>
      <c r="G179" s="73"/>
      <c r="H179" s="37"/>
      <c r="I179" s="37"/>
      <c r="J179" s="55"/>
      <c r="K179" s="2"/>
      <c r="L179" s="50"/>
    </row>
    <row r="180" spans="1:22" s="5" customFormat="1" x14ac:dyDescent="0.2">
      <c r="A180" s="52">
        <f>'01 01 2017'!A183*1.025</f>
        <v>0.47439541929460771</v>
      </c>
      <c r="B180" s="57" t="s">
        <v>176</v>
      </c>
      <c r="C180" s="72"/>
      <c r="D180" s="72"/>
      <c r="E180" s="87"/>
      <c r="F180" s="73"/>
      <c r="G180" s="73"/>
      <c r="H180" s="37"/>
      <c r="I180" s="37"/>
      <c r="J180" s="55"/>
      <c r="K180" s="2"/>
      <c r="L180" s="50"/>
    </row>
    <row r="181" spans="1:22" s="5" customFormat="1" x14ac:dyDescent="0.2">
      <c r="A181" s="52">
        <f>'01 01 2017'!A184*1.025</f>
        <v>0.68106273067047651</v>
      </c>
      <c r="B181" s="57" t="s">
        <v>177</v>
      </c>
      <c r="C181" s="72"/>
      <c r="D181" s="72"/>
      <c r="E181" s="87"/>
      <c r="F181" s="73"/>
      <c r="G181" s="73"/>
      <c r="H181" s="37"/>
      <c r="I181" s="37"/>
      <c r="J181" s="55"/>
      <c r="K181" s="2"/>
      <c r="L181" s="50"/>
    </row>
    <row r="182" spans="1:22" s="5" customFormat="1" x14ac:dyDescent="0.2">
      <c r="A182" s="53"/>
      <c r="B182" s="57"/>
      <c r="C182" s="72"/>
      <c r="D182" s="72"/>
      <c r="E182" s="87"/>
      <c r="F182" s="73"/>
      <c r="G182" s="73"/>
      <c r="H182" s="37"/>
      <c r="I182" s="37"/>
      <c r="J182" s="55"/>
      <c r="K182" s="2"/>
      <c r="L182" s="50"/>
    </row>
    <row r="183" spans="1:22" s="5" customFormat="1" x14ac:dyDescent="0.2">
      <c r="A183" s="70" t="s">
        <v>178</v>
      </c>
      <c r="B183" s="2"/>
      <c r="C183" s="2"/>
      <c r="D183" s="2"/>
      <c r="E183" s="77"/>
      <c r="F183" s="2"/>
      <c r="G183" s="2"/>
      <c r="H183" s="2"/>
      <c r="I183" s="2"/>
      <c r="J183" s="2"/>
      <c r="K183" s="2"/>
      <c r="L183" s="50"/>
    </row>
    <row r="184" spans="1:22" s="5" customFormat="1" x14ac:dyDescent="0.2">
      <c r="A184" s="74" t="s">
        <v>179</v>
      </c>
      <c r="B184" s="2"/>
      <c r="C184" s="2"/>
      <c r="D184" s="2"/>
      <c r="E184" s="77"/>
      <c r="F184" s="2"/>
      <c r="G184" s="2"/>
      <c r="H184" s="2"/>
      <c r="I184" s="2"/>
      <c r="J184" s="2"/>
      <c r="K184" s="2"/>
    </row>
    <row r="185" spans="1:22" s="5" customFormat="1" x14ac:dyDescent="0.2">
      <c r="A185" s="74" t="s">
        <v>180</v>
      </c>
      <c r="B185" s="2"/>
      <c r="C185" s="2"/>
      <c r="D185" s="2"/>
      <c r="E185" s="77"/>
      <c r="F185" s="2"/>
      <c r="G185" s="2"/>
      <c r="H185" s="2"/>
      <c r="I185" s="2"/>
      <c r="J185" s="2"/>
      <c r="K185" s="2"/>
    </row>
    <row r="186" spans="1:22" s="5" customFormat="1" x14ac:dyDescent="0.2">
      <c r="A186" s="74"/>
      <c r="B186" s="2"/>
      <c r="C186" s="2"/>
      <c r="D186" s="2"/>
      <c r="E186" s="77"/>
      <c r="F186" s="2"/>
      <c r="G186" s="2"/>
      <c r="H186" s="2"/>
      <c r="I186" s="2"/>
      <c r="J186" s="2"/>
      <c r="K186" s="2"/>
    </row>
    <row r="188" spans="1:22" x14ac:dyDescent="0.2">
      <c r="A188" s="70" t="s">
        <v>200</v>
      </c>
    </row>
  </sheetData>
  <printOptions gridLines="1"/>
  <pageMargins left="0.25" right="0.25" top="0.75" bottom="0.75" header="0.3" footer="0.3"/>
  <pageSetup orientation="landscape" r:id="rId1"/>
  <headerFooter alignWithMargins="0"/>
  <ignoredErrors>
    <ignoredError sqref="C27 C6:C11" numberStoredAsText="1"/>
    <ignoredError sqref="L5" evalError="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78"/>
  <sheetViews>
    <sheetView workbookViewId="0">
      <selection activeCell="P8" sqref="P8"/>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8554687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23.25" customHeight="1" x14ac:dyDescent="0.25">
      <c r="A1" s="89" t="s">
        <v>0</v>
      </c>
      <c r="D1" s="3"/>
      <c r="I1" s="4"/>
      <c r="J1" s="4"/>
    </row>
    <row r="2" spans="1:23" ht="15.75" x14ac:dyDescent="0.25">
      <c r="A2" s="89" t="s">
        <v>198</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((('01 01 2017'!H5+1)*1.025)-1)</f>
        <v>27.619263126257493</v>
      </c>
      <c r="I5" s="15">
        <f>((('01 01 2017'!I5+1)*1.025)-1)</f>
        <v>28.810777538434532</v>
      </c>
      <c r="J5" s="4"/>
      <c r="K5" s="4"/>
      <c r="L5" s="16"/>
      <c r="M5" s="16"/>
      <c r="N5" s="16"/>
      <c r="O5" s="16"/>
      <c r="Q5" s="16"/>
      <c r="R5" s="17"/>
      <c r="S5" s="16"/>
      <c r="T5" s="16"/>
    </row>
    <row r="6" spans="1:23" x14ac:dyDescent="0.2">
      <c r="A6" s="4" t="s">
        <v>15</v>
      </c>
      <c r="B6" s="4" t="s">
        <v>184</v>
      </c>
      <c r="C6" s="75" t="s">
        <v>196</v>
      </c>
      <c r="D6" s="3" t="s">
        <v>16</v>
      </c>
      <c r="E6" s="79">
        <v>283</v>
      </c>
      <c r="F6" s="4">
        <v>6</v>
      </c>
      <c r="G6" s="4" t="s">
        <v>14</v>
      </c>
      <c r="H6" s="15">
        <f>((('01 01 2017'!H6+1)*1.025)-1)</f>
        <v>25.772703592796631</v>
      </c>
      <c r="I6" s="15">
        <f>((('01 01 2017'!I6+1)*1.025)-1)</f>
        <v>28.016434596983178</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((('01 01 2017'!H7+1)*1.025)-1)</f>
        <v>30.075970136485342</v>
      </c>
      <c r="I7" s="15">
        <f>((('01 01 2017'!I7+1)*1.025)-1)</f>
        <v>32.483174615579266</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((('01 01 2017'!H8+1)*1.025)-1)</f>
        <v>32.619018770783995</v>
      </c>
      <c r="I8" s="15">
        <f>((('01 01 2017'!I8+1)*1.025)-1)</f>
        <v>35.8148100830579</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((('01 01 2017'!H9+1)*1.025)-1)</f>
        <v>26.610792957110537</v>
      </c>
      <c r="I9" s="15">
        <f>((('01 01 2017'!I9+1)*1.025)-1)</f>
        <v>28.527577011482311</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((('01 01 2017'!H10+1)*1.025)-1)</f>
        <v>27.619263126257493</v>
      </c>
      <c r="I10" s="15">
        <f>((('01 01 2017'!I10+1)*1.025)-1)</f>
        <v>28.810777538434532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((('01 01 2017'!I11+1)*1.025)-1)</f>
        <v>30.382116091115467</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4" t="s">
        <v>30</v>
      </c>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21">
        <f>((('01 01 2017'!I13+1)*1.025)-1)</f>
        <v>27.271775554327974</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21">
        <f>((('01 01 2017'!I14+1)*1.025)-1)</f>
        <v>28.196403732555154</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21">
        <f>((('01 01 2017'!I15+1)*1.025)-1)</f>
        <v>28.924974518741923</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21">
        <f>((('01 01 2017'!I16+1)*1.025)-1)</f>
        <v>29.653545304928695</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21">
        <f>((('01 01 2017'!I17+1)*1.025)-1)</f>
        <v>30.382116091115467</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21"/>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21" t="s">
        <v>30</v>
      </c>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21">
        <f>((('01 01 2017'!I20+1)*1.025)-1)</f>
        <v>28.113427848129174</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21">
        <f>((('01 01 2017'!I21+1)*1.025)-1)</f>
        <v>28.833903170468577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21">
        <f>((('01 01 2017'!I22+1)*1.025)-1)</f>
        <v>29.349974144017541</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21">
        <f>((('01 01 2017'!I23+1)*1.025)-1)</f>
        <v>29.866045117566504</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21">
        <f>((('01 01 2017'!I24+1)*1.025)-1)</f>
        <v>30.382116091115467</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4" t="s">
        <v>30</v>
      </c>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4"/>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((('01 01 2017'!H27+1)*1.025)-1)</f>
        <v>27.357236048554519</v>
      </c>
      <c r="I27" s="21">
        <f>((('01 01 2017'!I27+1)*1.025)-1)</f>
        <v>28.562113661110633</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224</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'01 01 2017'!G38*1.025</f>
        <v>1.1512216542773435</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231</v>
      </c>
      <c r="E40" s="83"/>
      <c r="G40" s="4"/>
      <c r="M40" s="34"/>
      <c r="N40" s="34"/>
      <c r="O40" s="34"/>
      <c r="P40" s="34"/>
      <c r="Q40" s="34"/>
      <c r="R40" s="34"/>
      <c r="S40" s="34"/>
      <c r="T40" s="34"/>
      <c r="U40" s="34"/>
      <c r="V40" s="34"/>
    </row>
    <row r="41" spans="1:22" x14ac:dyDescent="0.2">
      <c r="A41" s="39" t="s">
        <v>51</v>
      </c>
      <c r="B41" s="33"/>
      <c r="C41" s="33"/>
      <c r="D41" s="33"/>
      <c r="G41" s="76">
        <f>'01 01 2017'!G41*1.025</f>
        <v>1.8848432967089839</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'01 01 2017'!G44*1.025</f>
        <v>1.726832481416015</v>
      </c>
      <c r="H44" s="42" t="s">
        <v>53</v>
      </c>
      <c r="I44" s="37"/>
      <c r="J44" s="37"/>
    </row>
    <row r="45" spans="1:22" x14ac:dyDescent="0.2">
      <c r="A45" s="19" t="s">
        <v>234</v>
      </c>
      <c r="C45" s="41"/>
      <c r="D45" s="19"/>
      <c r="E45" s="80"/>
      <c r="F45" s="19"/>
      <c r="G45" s="19"/>
      <c r="H45" s="37"/>
      <c r="I45" s="37"/>
      <c r="J45" s="37"/>
    </row>
    <row r="46" spans="1:22" x14ac:dyDescent="0.2">
      <c r="A46" s="2" t="s">
        <v>215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'01 01 2017'!A52*1.025</f>
        <v>0.28780541356933587</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'01 01 2017'!F60*1.025</f>
        <v>1.7989450058399477</v>
      </c>
      <c r="G60" s="19" t="s">
        <v>67</v>
      </c>
      <c r="L60" s="34"/>
      <c r="M60" s="34"/>
      <c r="N60" s="34"/>
      <c r="O60" s="34"/>
      <c r="P60" s="34"/>
      <c r="Q60" s="34"/>
      <c r="R60" s="34"/>
      <c r="S60" s="34"/>
      <c r="T60" s="34"/>
      <c r="U60" s="34"/>
      <c r="V60" s="34"/>
    </row>
    <row r="61" spans="1:23" s="33" customFormat="1" x14ac:dyDescent="0.2">
      <c r="A61" s="47" t="s">
        <v>68</v>
      </c>
      <c r="E61" s="83"/>
      <c r="F61" s="48">
        <f>'01 01 2017'!F61*1.025</f>
        <v>1.2940191882739054</v>
      </c>
      <c r="G61" s="19" t="s">
        <v>67</v>
      </c>
      <c r="L61" s="34"/>
      <c r="M61" s="34"/>
      <c r="N61" s="34"/>
      <c r="O61" s="34"/>
      <c r="P61" s="34"/>
      <c r="Q61" s="34"/>
      <c r="R61" s="34"/>
      <c r="S61" s="34"/>
      <c r="T61" s="34"/>
      <c r="U61" s="34"/>
      <c r="V61" s="34"/>
    </row>
    <row r="62" spans="1:23" x14ac:dyDescent="0.2">
      <c r="A62" s="47" t="s">
        <v>69</v>
      </c>
      <c r="B62" s="20"/>
      <c r="C62" s="19"/>
      <c r="D62" s="19"/>
      <c r="E62" s="80"/>
      <c r="F62" s="49">
        <f>'01 01 2017'!F62*1.025</f>
        <v>0.86307087421172435</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12" x14ac:dyDescent="0.2">
      <c r="A65" s="18" t="s">
        <v>71</v>
      </c>
      <c r="B65" s="20"/>
      <c r="C65" s="19"/>
      <c r="D65" s="19"/>
      <c r="E65" s="80"/>
      <c r="F65" s="19"/>
      <c r="G65" s="19"/>
      <c r="H65" s="37"/>
      <c r="I65" s="37"/>
      <c r="J65" s="37"/>
    </row>
    <row r="66" spans="1:12" x14ac:dyDescent="0.2">
      <c r="A66" s="18" t="s">
        <v>72</v>
      </c>
      <c r="B66" s="20"/>
      <c r="C66" s="19"/>
      <c r="D66" s="19"/>
      <c r="E66" s="80"/>
      <c r="F66" s="19"/>
      <c r="G66" s="19"/>
      <c r="H66" s="37"/>
      <c r="I66" s="37"/>
      <c r="J66" s="37"/>
    </row>
    <row r="67" spans="1:12" x14ac:dyDescent="0.2">
      <c r="A67" s="52">
        <f>'01 01 2018'!A67+0.34</f>
        <v>0.7605256846041093</v>
      </c>
      <c r="B67" s="39" t="s">
        <v>73</v>
      </c>
      <c r="C67" s="19"/>
      <c r="D67" s="19"/>
      <c r="E67" s="80"/>
      <c r="F67" s="19"/>
      <c r="G67" s="19"/>
      <c r="H67" s="37"/>
      <c r="I67" s="37"/>
      <c r="J67" s="37"/>
    </row>
    <row r="68" spans="1:12" x14ac:dyDescent="0.2">
      <c r="A68" s="18" t="s">
        <v>74</v>
      </c>
      <c r="B68" s="20"/>
      <c r="C68" s="19"/>
      <c r="D68" s="19"/>
      <c r="E68" s="80"/>
      <c r="F68" s="19"/>
      <c r="G68" s="19"/>
      <c r="H68" s="53"/>
      <c r="I68" s="37"/>
      <c r="J68" s="37"/>
    </row>
    <row r="69" spans="1:12" x14ac:dyDescent="0.2">
      <c r="A69" s="52">
        <f>A67</f>
        <v>0.7605256846041093</v>
      </c>
      <c r="B69" s="18" t="s">
        <v>75</v>
      </c>
      <c r="C69" s="19"/>
      <c r="D69" s="19"/>
      <c r="E69" s="80"/>
      <c r="F69" s="19"/>
      <c r="G69" s="19"/>
      <c r="I69" s="37"/>
      <c r="J69" s="37"/>
      <c r="L69" s="50"/>
    </row>
    <row r="70" spans="1:12" x14ac:dyDescent="0.2">
      <c r="A70" s="18" t="s">
        <v>76</v>
      </c>
      <c r="B70" s="20"/>
      <c r="C70" s="19"/>
      <c r="D70" s="19"/>
      <c r="E70" s="80"/>
      <c r="F70" s="19"/>
      <c r="G70" s="19"/>
      <c r="I70" s="37"/>
      <c r="J70" s="37"/>
      <c r="L70" s="50"/>
    </row>
    <row r="71" spans="1:12" x14ac:dyDescent="0.2">
      <c r="A71" s="18" t="s">
        <v>77</v>
      </c>
      <c r="B71" s="20"/>
      <c r="C71" s="19"/>
      <c r="D71" s="19"/>
      <c r="E71" s="80"/>
      <c r="F71" s="19"/>
      <c r="G71" s="19"/>
      <c r="H71" s="37"/>
      <c r="I71" s="37"/>
      <c r="J71" s="37"/>
    </row>
    <row r="72" spans="1:12" x14ac:dyDescent="0.2">
      <c r="A72" s="54">
        <v>0.76100000000000001</v>
      </c>
      <c r="B72" s="19" t="s">
        <v>78</v>
      </c>
      <c r="E72" s="80"/>
      <c r="F72" s="19"/>
      <c r="G72" s="19"/>
      <c r="H72" s="37"/>
      <c r="I72" s="37"/>
      <c r="J72" s="37"/>
    </row>
    <row r="73" spans="1:12" x14ac:dyDescent="0.2">
      <c r="A73" s="18"/>
      <c r="B73" s="20"/>
      <c r="C73" s="19"/>
      <c r="D73" s="19"/>
      <c r="E73" s="80"/>
      <c r="F73" s="19"/>
      <c r="G73" s="19"/>
      <c r="H73" s="37"/>
      <c r="I73" s="37"/>
      <c r="J73" s="37"/>
    </row>
    <row r="74" spans="1:12" x14ac:dyDescent="0.2">
      <c r="G74" s="19"/>
      <c r="H74" s="37"/>
      <c r="I74" s="37"/>
      <c r="J74" s="37"/>
      <c r="L74" s="50"/>
    </row>
    <row r="75" spans="1:12" x14ac:dyDescent="0.2">
      <c r="A75" s="43" t="s">
        <v>79</v>
      </c>
      <c r="B75" s="51"/>
      <c r="C75" s="49">
        <f>'01 01 2018'!C75+0.34</f>
        <v>0.7605256846041093</v>
      </c>
      <c r="D75" s="19" t="s">
        <v>206</v>
      </c>
      <c r="E75" s="80"/>
      <c r="F75" s="19"/>
      <c r="G75" s="19"/>
      <c r="H75" s="37"/>
      <c r="I75" s="55" t="s">
        <v>80</v>
      </c>
      <c r="J75" s="37"/>
      <c r="L75" s="50"/>
    </row>
    <row r="76" spans="1:12" x14ac:dyDescent="0.2">
      <c r="A76" s="39" t="s">
        <v>81</v>
      </c>
      <c r="B76" s="20"/>
      <c r="C76" s="19"/>
      <c r="D76" s="19"/>
      <c r="E76" s="80"/>
      <c r="F76" s="19"/>
      <c r="G76" s="19"/>
      <c r="H76" s="37"/>
      <c r="I76" s="37"/>
      <c r="J76" s="19"/>
    </row>
    <row r="77" spans="1:12" x14ac:dyDescent="0.2">
      <c r="A77" s="39"/>
      <c r="B77" s="20"/>
      <c r="C77" s="19"/>
      <c r="D77" s="19"/>
      <c r="E77" s="80"/>
      <c r="F77" s="19"/>
      <c r="G77" s="19"/>
    </row>
    <row r="78" spans="1:12" x14ac:dyDescent="0.2">
      <c r="A78" s="56" t="s">
        <v>82</v>
      </c>
      <c r="B78" s="20"/>
      <c r="C78" s="19"/>
      <c r="D78" s="19"/>
      <c r="E78" s="80"/>
      <c r="F78" s="19"/>
      <c r="G78" s="19"/>
      <c r="H78" s="55" t="s">
        <v>83</v>
      </c>
      <c r="I78" s="54">
        <f>C75</f>
        <v>0.7605256846041093</v>
      </c>
      <c r="J78" s="2" t="s">
        <v>84</v>
      </c>
    </row>
    <row r="79" spans="1:12" x14ac:dyDescent="0.2">
      <c r="A79" s="57" t="s">
        <v>85</v>
      </c>
      <c r="B79" s="19"/>
      <c r="D79" s="19"/>
      <c r="E79" s="80"/>
      <c r="F79" s="19"/>
      <c r="G79" s="19"/>
      <c r="H79" s="58"/>
      <c r="I79" s="33"/>
      <c r="J79" s="33"/>
    </row>
    <row r="80" spans="1:12" x14ac:dyDescent="0.2">
      <c r="A80" s="57" t="s">
        <v>86</v>
      </c>
      <c r="B80" s="20"/>
      <c r="C80" s="19"/>
      <c r="D80" s="19"/>
      <c r="E80" s="80"/>
      <c r="F80" s="19"/>
      <c r="G80" s="19"/>
      <c r="H80" s="58"/>
      <c r="I80" s="33"/>
      <c r="J80" s="33"/>
    </row>
    <row r="81" spans="1:22" ht="13.5" customHeight="1" x14ac:dyDescent="0.2">
      <c r="A81" s="39" t="s">
        <v>87</v>
      </c>
      <c r="B81" s="33"/>
      <c r="C81" s="33"/>
      <c r="D81" s="33"/>
      <c r="E81" s="83"/>
      <c r="F81" s="33"/>
      <c r="G81" s="33"/>
      <c r="H81" s="55"/>
      <c r="I81" s="37"/>
      <c r="J81" s="37"/>
      <c r="L81" s="50"/>
    </row>
    <row r="82" spans="1:22" s="33" customFormat="1" x14ac:dyDescent="0.2">
      <c r="A82" s="39"/>
      <c r="E82" s="83"/>
      <c r="H82" s="55"/>
      <c r="I82" s="37"/>
      <c r="J82" s="37"/>
      <c r="L82" s="34"/>
      <c r="M82" s="34"/>
      <c r="N82" s="34"/>
      <c r="O82" s="34"/>
      <c r="P82" s="34"/>
      <c r="Q82" s="34"/>
      <c r="R82" s="34"/>
      <c r="S82" s="34"/>
      <c r="T82" s="34"/>
      <c r="U82" s="34"/>
      <c r="V82" s="34"/>
    </row>
    <row r="83" spans="1:22" s="33" customFormat="1" x14ac:dyDescent="0.2">
      <c r="A83" s="39" t="s">
        <v>88</v>
      </c>
      <c r="E83" s="83"/>
      <c r="H83" s="55" t="s">
        <v>89</v>
      </c>
      <c r="I83" s="54">
        <f>$C$75*2</f>
        <v>1.5210513692082186</v>
      </c>
      <c r="J83" s="2" t="s">
        <v>84</v>
      </c>
      <c r="L83" s="34"/>
      <c r="M83" s="34"/>
      <c r="N83" s="34"/>
      <c r="O83" s="34"/>
      <c r="P83" s="34"/>
      <c r="Q83" s="34"/>
      <c r="R83" s="34"/>
      <c r="S83" s="34"/>
      <c r="T83" s="34"/>
      <c r="U83" s="34"/>
      <c r="V83" s="34"/>
    </row>
    <row r="84" spans="1:22" s="33" customFormat="1" x14ac:dyDescent="0.2">
      <c r="A84" s="57" t="s">
        <v>207</v>
      </c>
      <c r="B84" s="20"/>
      <c r="C84" s="19"/>
      <c r="D84" s="19"/>
      <c r="E84" s="80"/>
      <c r="F84" s="19"/>
      <c r="G84" s="19"/>
      <c r="H84" s="58"/>
      <c r="L84" s="34"/>
      <c r="M84" s="34"/>
      <c r="N84" s="34"/>
      <c r="O84" s="34"/>
      <c r="P84" s="34"/>
      <c r="Q84" s="34"/>
      <c r="R84" s="34"/>
      <c r="S84" s="34"/>
      <c r="T84" s="34"/>
      <c r="U84" s="34"/>
      <c r="V84" s="34"/>
    </row>
    <row r="85" spans="1:22" x14ac:dyDescent="0.2">
      <c r="A85" s="39"/>
      <c r="B85" s="33"/>
      <c r="C85" s="33"/>
      <c r="D85" s="33"/>
      <c r="E85" s="83"/>
      <c r="F85" s="33"/>
      <c r="G85" s="33"/>
      <c r="H85" s="1"/>
    </row>
    <row r="86" spans="1:22" x14ac:dyDescent="0.2">
      <c r="A86" s="59" t="s">
        <v>93</v>
      </c>
      <c r="B86" s="33"/>
      <c r="C86" s="33"/>
      <c r="D86" s="33"/>
      <c r="E86" s="83"/>
      <c r="F86" s="33"/>
      <c r="G86" s="33"/>
      <c r="H86" s="55" t="s">
        <v>94</v>
      </c>
      <c r="I86" s="88">
        <f>$C$75*3</f>
        <v>2.2815770538123279</v>
      </c>
      <c r="J86" s="2" t="s">
        <v>84</v>
      </c>
      <c r="L86" s="60"/>
    </row>
    <row r="87" spans="1:22" x14ac:dyDescent="0.2">
      <c r="A87" s="57" t="s">
        <v>208</v>
      </c>
      <c r="B87" s="20"/>
      <c r="C87" s="19"/>
      <c r="D87" s="19"/>
      <c r="E87" s="80"/>
      <c r="F87" s="19"/>
      <c r="G87" s="19"/>
      <c r="H87" s="58"/>
      <c r="I87" s="33"/>
      <c r="J87" s="33"/>
      <c r="L87" s="60"/>
    </row>
    <row r="88" spans="1:22" s="33" customFormat="1" x14ac:dyDescent="0.2">
      <c r="A88" s="19"/>
      <c r="E88" s="83"/>
      <c r="H88" s="1"/>
      <c r="I88" s="2"/>
      <c r="J88" s="2"/>
      <c r="L88" s="34"/>
      <c r="M88" s="34"/>
      <c r="N88" s="34"/>
      <c r="O88" s="34"/>
      <c r="P88" s="34"/>
      <c r="Q88" s="34"/>
      <c r="R88" s="34"/>
      <c r="S88" s="34"/>
      <c r="T88" s="34"/>
      <c r="U88" s="34"/>
      <c r="V88" s="34"/>
    </row>
    <row r="89" spans="1:22" s="33" customFormat="1" x14ac:dyDescent="0.2">
      <c r="A89" s="59" t="s">
        <v>96</v>
      </c>
      <c r="E89" s="83"/>
      <c r="H89" s="55" t="s">
        <v>97</v>
      </c>
      <c r="I89" s="88">
        <f>$C$75*4</f>
        <v>3.0421027384164372</v>
      </c>
      <c r="J89" s="2" t="s">
        <v>84</v>
      </c>
      <c r="L89" s="34"/>
      <c r="M89" s="34"/>
      <c r="N89" s="34"/>
      <c r="O89" s="34"/>
      <c r="P89" s="34"/>
      <c r="Q89" s="34"/>
      <c r="R89" s="34"/>
      <c r="S89" s="34"/>
      <c r="T89" s="34"/>
      <c r="U89" s="34"/>
      <c r="V89" s="34"/>
    </row>
    <row r="90" spans="1:22" x14ac:dyDescent="0.2">
      <c r="A90" s="57" t="s">
        <v>209</v>
      </c>
      <c r="B90" s="20"/>
      <c r="C90" s="39"/>
      <c r="D90" s="19"/>
      <c r="E90" s="80"/>
      <c r="F90" s="19"/>
      <c r="G90" s="19"/>
      <c r="H90" s="55"/>
      <c r="I90" s="61"/>
    </row>
    <row r="91" spans="1:22" x14ac:dyDescent="0.2">
      <c r="A91" s="57"/>
      <c r="B91" s="20"/>
      <c r="C91" s="39"/>
      <c r="D91" s="19"/>
      <c r="E91" s="80"/>
      <c r="F91" s="19"/>
      <c r="G91" s="19"/>
      <c r="H91" s="55"/>
      <c r="I91" s="61"/>
    </row>
    <row r="92" spans="1:22" x14ac:dyDescent="0.2">
      <c r="A92" s="43" t="s">
        <v>210</v>
      </c>
      <c r="B92" s="33"/>
      <c r="C92" s="33"/>
      <c r="D92" s="33"/>
      <c r="E92" s="83"/>
      <c r="F92" s="33"/>
      <c r="G92" s="33"/>
      <c r="H92" s="55"/>
      <c r="I92" s="61"/>
      <c r="L92" s="60"/>
    </row>
    <row r="93" spans="1:22" s="33" customFormat="1" x14ac:dyDescent="0.2">
      <c r="A93" s="101" t="s">
        <v>211</v>
      </c>
      <c r="E93" s="83"/>
      <c r="H93" s="55"/>
      <c r="I93" s="61"/>
      <c r="J93" s="2"/>
      <c r="L93" s="34"/>
      <c r="M93" s="34"/>
      <c r="N93" s="34"/>
      <c r="O93" s="34"/>
      <c r="P93" s="34"/>
      <c r="Q93" s="34"/>
      <c r="R93" s="34"/>
      <c r="S93" s="34"/>
      <c r="T93" s="34"/>
      <c r="U93" s="34"/>
      <c r="V93" s="34"/>
    </row>
    <row r="94" spans="1:22" s="33" customFormat="1" x14ac:dyDescent="0.2">
      <c r="A94" s="19" t="s">
        <v>102</v>
      </c>
      <c r="E94" s="83"/>
      <c r="H94" s="55"/>
      <c r="I94" s="61"/>
      <c r="J94" s="2"/>
      <c r="L94" s="34"/>
      <c r="M94" s="34"/>
      <c r="N94" s="34"/>
      <c r="O94" s="34"/>
      <c r="P94" s="34"/>
      <c r="Q94" s="34"/>
      <c r="R94" s="34"/>
      <c r="S94" s="34"/>
      <c r="T94" s="34"/>
      <c r="U94" s="34"/>
      <c r="V94" s="34"/>
    </row>
    <row r="95" spans="1:22" x14ac:dyDescent="0.2">
      <c r="A95" s="19" t="s">
        <v>103</v>
      </c>
      <c r="B95" s="33"/>
      <c r="C95" s="33"/>
      <c r="D95" s="33"/>
      <c r="E95" s="83"/>
      <c r="F95" s="33"/>
      <c r="G95" s="33"/>
      <c r="H95" s="55"/>
      <c r="I95" s="61"/>
    </row>
    <row r="96" spans="1:22" x14ac:dyDescent="0.2">
      <c r="A96" s="19" t="s">
        <v>104</v>
      </c>
      <c r="B96" s="33"/>
      <c r="C96" s="33"/>
      <c r="D96" s="33"/>
      <c r="E96" s="83"/>
      <c r="F96" s="33"/>
      <c r="G96" s="33"/>
      <c r="H96" s="55"/>
      <c r="I96" s="61"/>
      <c r="L96" s="60"/>
    </row>
    <row r="97" spans="1:12" x14ac:dyDescent="0.2">
      <c r="A97" s="19" t="s">
        <v>216</v>
      </c>
      <c r="B97" s="33"/>
      <c r="C97" s="33"/>
      <c r="D97" s="33"/>
      <c r="E97" s="83"/>
      <c r="F97" s="33"/>
      <c r="G97" s="33"/>
      <c r="H97" s="55"/>
      <c r="I97" s="61"/>
      <c r="L97" s="60"/>
    </row>
    <row r="98" spans="1:12" x14ac:dyDescent="0.2">
      <c r="A98" s="19"/>
      <c r="B98" s="33"/>
      <c r="C98" s="33"/>
      <c r="D98" s="33"/>
      <c r="E98" s="83"/>
      <c r="F98" s="33"/>
      <c r="G98" s="33"/>
      <c r="H98" s="55"/>
      <c r="I98" s="61"/>
      <c r="L98" s="60"/>
    </row>
    <row r="99" spans="1:12" x14ac:dyDescent="0.2">
      <c r="A99" s="59" t="s">
        <v>106</v>
      </c>
      <c r="B99" s="33"/>
      <c r="C99" s="33"/>
      <c r="D99" s="33"/>
      <c r="E99" s="83"/>
      <c r="F99" s="33"/>
      <c r="G99" s="33"/>
      <c r="H99" s="55" t="s">
        <v>107</v>
      </c>
      <c r="I99" s="54">
        <f>$C$75*5</f>
        <v>3.8026284230205465</v>
      </c>
      <c r="J99" s="2" t="s">
        <v>84</v>
      </c>
      <c r="L99" s="60"/>
    </row>
    <row r="100" spans="1:12" x14ac:dyDescent="0.2">
      <c r="A100" s="57" t="s">
        <v>212</v>
      </c>
      <c r="B100" s="33"/>
      <c r="C100" s="33"/>
      <c r="D100" s="33"/>
      <c r="E100" s="83"/>
      <c r="F100" s="33"/>
      <c r="G100" s="33"/>
      <c r="H100" s="55"/>
      <c r="I100" s="61"/>
      <c r="L100" s="60"/>
    </row>
    <row r="101" spans="1:12" x14ac:dyDescent="0.2">
      <c r="A101" s="19"/>
      <c r="B101" s="33"/>
      <c r="C101" s="33"/>
      <c r="D101" s="33"/>
      <c r="E101" s="83"/>
      <c r="F101" s="33"/>
      <c r="G101" s="33"/>
      <c r="H101" s="55"/>
      <c r="I101" s="61"/>
      <c r="L101" s="60"/>
    </row>
    <row r="102" spans="1:12" x14ac:dyDescent="0.2">
      <c r="A102" s="59" t="s">
        <v>109</v>
      </c>
      <c r="B102" s="33"/>
      <c r="C102" s="33"/>
      <c r="D102" s="33"/>
      <c r="E102" s="83"/>
      <c r="F102" s="33"/>
      <c r="G102" s="33"/>
      <c r="H102" s="55" t="s">
        <v>110</v>
      </c>
      <c r="I102" s="54">
        <f>$C$75*6</f>
        <v>4.5631541076246558</v>
      </c>
      <c r="J102" s="2" t="s">
        <v>84</v>
      </c>
      <c r="L102" s="60"/>
    </row>
    <row r="103" spans="1:12" x14ac:dyDescent="0.2">
      <c r="A103" s="57" t="s">
        <v>213</v>
      </c>
      <c r="B103" s="33"/>
      <c r="C103" s="33"/>
      <c r="D103" s="33"/>
      <c r="E103" s="83"/>
      <c r="F103" s="33"/>
      <c r="G103" s="33"/>
      <c r="H103" s="55" t="s">
        <v>112</v>
      </c>
      <c r="I103" s="61"/>
      <c r="L103" s="60"/>
    </row>
    <row r="104" spans="1:12" x14ac:dyDescent="0.2">
      <c r="A104" s="19"/>
      <c r="B104" s="33"/>
      <c r="C104" s="33"/>
      <c r="D104" s="33"/>
      <c r="E104" s="83"/>
      <c r="F104" s="33"/>
      <c r="G104" s="33"/>
      <c r="H104" s="55"/>
      <c r="I104" s="61"/>
      <c r="L104" s="60"/>
    </row>
    <row r="105" spans="1:12" x14ac:dyDescent="0.2">
      <c r="A105" s="59" t="s">
        <v>113</v>
      </c>
      <c r="B105" s="33"/>
      <c r="C105" s="33"/>
      <c r="D105" s="33"/>
      <c r="E105" s="83"/>
      <c r="F105" s="33"/>
      <c r="G105" s="33"/>
      <c r="H105" s="55" t="s">
        <v>114</v>
      </c>
      <c r="I105" s="54">
        <f>$C$75*7</f>
        <v>5.3236797922287646</v>
      </c>
      <c r="J105" s="2" t="s">
        <v>84</v>
      </c>
      <c r="L105" s="60"/>
    </row>
    <row r="106" spans="1:12" x14ac:dyDescent="0.2">
      <c r="A106" s="57" t="s">
        <v>235</v>
      </c>
      <c r="B106" s="33"/>
      <c r="C106" s="33"/>
      <c r="D106" s="33"/>
      <c r="E106" s="83"/>
      <c r="F106" s="33"/>
      <c r="G106" s="33"/>
      <c r="H106" s="5"/>
      <c r="I106" s="5"/>
      <c r="J106" s="5"/>
      <c r="L106" s="60"/>
    </row>
    <row r="107" spans="1:12" s="5" customFormat="1" x14ac:dyDescent="0.2">
      <c r="A107" s="19" t="s">
        <v>100</v>
      </c>
      <c r="B107" s="33"/>
      <c r="C107" s="33"/>
      <c r="D107" s="33"/>
      <c r="E107" s="83"/>
      <c r="F107" s="33"/>
      <c r="G107" s="33"/>
      <c r="H107" s="55"/>
      <c r="I107" s="61"/>
      <c r="J107" s="2"/>
      <c r="K107" s="2"/>
      <c r="L107" s="60"/>
    </row>
    <row r="108" spans="1:12" s="5" customFormat="1" x14ac:dyDescent="0.2">
      <c r="A108" s="19"/>
      <c r="B108" s="33"/>
      <c r="C108" s="33"/>
      <c r="D108" s="33"/>
      <c r="E108" s="83"/>
      <c r="F108" s="33"/>
      <c r="G108" s="33"/>
      <c r="H108" s="37"/>
      <c r="I108" s="61"/>
      <c r="J108" s="2"/>
      <c r="K108" s="2"/>
      <c r="L108" s="60"/>
    </row>
    <row r="109" spans="1:12" s="5" customFormat="1" x14ac:dyDescent="0.2">
      <c r="A109" s="19"/>
      <c r="B109" s="20"/>
      <c r="C109" s="39" t="s">
        <v>116</v>
      </c>
      <c r="D109" s="19"/>
      <c r="E109" s="80"/>
      <c r="F109" s="19"/>
      <c r="G109" s="19" t="s">
        <v>117</v>
      </c>
      <c r="H109" s="37"/>
      <c r="I109" s="37"/>
      <c r="J109" s="37"/>
      <c r="K109" s="2"/>
    </row>
    <row r="110" spans="1:12" s="5" customFormat="1" x14ac:dyDescent="0.2">
      <c r="A110" s="19"/>
      <c r="B110" s="20"/>
      <c r="C110" s="39" t="s">
        <v>118</v>
      </c>
      <c r="D110" s="19"/>
      <c r="E110" s="80"/>
      <c r="F110" s="19"/>
      <c r="G110" s="19" t="s">
        <v>119</v>
      </c>
      <c r="H110" s="37"/>
      <c r="I110" s="37"/>
      <c r="J110" s="37"/>
      <c r="K110" s="2"/>
    </row>
    <row r="111" spans="1:12" s="5" customFormat="1" x14ac:dyDescent="0.2">
      <c r="A111" s="19"/>
      <c r="B111" s="20"/>
      <c r="C111" s="39" t="s">
        <v>120</v>
      </c>
      <c r="D111" s="19"/>
      <c r="E111" s="80"/>
      <c r="F111" s="19"/>
      <c r="G111" s="19" t="s">
        <v>121</v>
      </c>
      <c r="H111" s="37"/>
      <c r="I111" s="37"/>
      <c r="J111" s="37"/>
      <c r="K111" s="2"/>
    </row>
    <row r="112" spans="1:12" s="5" customFormat="1" x14ac:dyDescent="0.2">
      <c r="A112" s="19"/>
      <c r="B112" s="20"/>
      <c r="C112" s="39" t="s">
        <v>122</v>
      </c>
      <c r="D112" s="19"/>
      <c r="E112" s="80"/>
      <c r="F112" s="19"/>
      <c r="G112" s="19" t="s">
        <v>123</v>
      </c>
      <c r="H112" s="37"/>
      <c r="I112" s="37"/>
      <c r="J112" s="37"/>
      <c r="K112" s="2"/>
    </row>
    <row r="113" spans="1:11" s="5" customFormat="1" x14ac:dyDescent="0.2">
      <c r="A113" s="39"/>
      <c r="B113" s="20"/>
      <c r="C113" s="39" t="s">
        <v>124</v>
      </c>
      <c r="D113" s="19"/>
      <c r="E113" s="80"/>
      <c r="F113" s="19"/>
      <c r="G113" s="19" t="s">
        <v>125</v>
      </c>
      <c r="H113" s="37"/>
      <c r="I113" s="37"/>
      <c r="J113" s="37"/>
      <c r="K113" s="2"/>
    </row>
    <row r="114" spans="1:11" s="5" customFormat="1" x14ac:dyDescent="0.2">
      <c r="A114" s="39"/>
      <c r="B114" s="20"/>
      <c r="C114" s="39" t="s">
        <v>126</v>
      </c>
      <c r="D114" s="19"/>
      <c r="E114" s="80"/>
      <c r="F114" s="19"/>
      <c r="G114" s="19" t="s">
        <v>127</v>
      </c>
      <c r="H114" s="37"/>
      <c r="I114" s="37"/>
      <c r="J114" s="37"/>
      <c r="K114" s="2"/>
    </row>
    <row r="115" spans="1:11" s="5" customFormat="1" x14ac:dyDescent="0.2">
      <c r="A115" s="39"/>
      <c r="B115" s="20"/>
      <c r="C115" s="19" t="s">
        <v>128</v>
      </c>
      <c r="D115" s="19"/>
      <c r="E115" s="80"/>
      <c r="F115" s="19"/>
      <c r="G115" s="19" t="s">
        <v>129</v>
      </c>
      <c r="H115" s="37"/>
      <c r="I115" s="37"/>
      <c r="J115" s="37"/>
      <c r="K115" s="2"/>
    </row>
    <row r="116" spans="1:11" s="5" customFormat="1" x14ac:dyDescent="0.2">
      <c r="A116" s="39"/>
      <c r="B116" s="20"/>
      <c r="C116" s="19" t="s">
        <v>130</v>
      </c>
      <c r="D116" s="19"/>
      <c r="E116" s="80"/>
      <c r="F116" s="19"/>
      <c r="G116" s="19" t="s">
        <v>131</v>
      </c>
      <c r="H116" s="37"/>
      <c r="I116" s="37"/>
      <c r="J116" s="37"/>
      <c r="K116" s="2"/>
    </row>
    <row r="117" spans="1:11" s="5" customFormat="1" x14ac:dyDescent="0.2">
      <c r="A117" s="39"/>
      <c r="B117" s="20"/>
      <c r="C117" s="19"/>
      <c r="D117" s="19"/>
      <c r="E117" s="80"/>
      <c r="F117" s="19"/>
      <c r="G117" s="19"/>
      <c r="H117" s="37"/>
      <c r="I117" s="37"/>
      <c r="J117" s="37"/>
      <c r="K117" s="2"/>
    </row>
    <row r="118" spans="1:11" s="5" customFormat="1" x14ac:dyDescent="0.2">
      <c r="A118" s="39"/>
      <c r="B118" s="20"/>
      <c r="C118" s="19" t="s">
        <v>132</v>
      </c>
      <c r="D118" s="19"/>
      <c r="E118" s="80"/>
      <c r="F118" s="19"/>
      <c r="G118" s="19" t="s">
        <v>133</v>
      </c>
      <c r="H118" s="37"/>
      <c r="I118" s="37"/>
      <c r="J118" s="37"/>
      <c r="K118" s="2"/>
    </row>
    <row r="119" spans="1:11" s="5" customFormat="1" x14ac:dyDescent="0.2">
      <c r="A119" s="39"/>
      <c r="B119" s="20"/>
      <c r="C119" s="19" t="s">
        <v>134</v>
      </c>
      <c r="D119" s="19"/>
      <c r="E119" s="80"/>
      <c r="F119" s="19"/>
      <c r="G119" s="19" t="s">
        <v>135</v>
      </c>
      <c r="H119" s="37"/>
      <c r="I119" s="37"/>
      <c r="J119" s="37"/>
      <c r="K119" s="2"/>
    </row>
    <row r="120" spans="1:11" s="5" customFormat="1" x14ac:dyDescent="0.2">
      <c r="A120" s="39"/>
      <c r="B120" s="20"/>
      <c r="C120" s="19" t="s">
        <v>136</v>
      </c>
      <c r="D120" s="19"/>
      <c r="E120" s="80"/>
      <c r="F120" s="19"/>
      <c r="G120" s="19" t="s">
        <v>137</v>
      </c>
      <c r="H120" s="37"/>
      <c r="I120" s="37"/>
      <c r="J120" s="37"/>
      <c r="K120" s="2"/>
    </row>
    <row r="121" spans="1:11" s="5" customFormat="1" x14ac:dyDescent="0.2">
      <c r="A121" s="39"/>
      <c r="B121" s="20"/>
      <c r="C121" s="19"/>
      <c r="D121" s="19"/>
      <c r="E121" s="80"/>
      <c r="F121" s="19"/>
      <c r="G121" s="19" t="s">
        <v>138</v>
      </c>
      <c r="H121" s="37"/>
      <c r="I121" s="37"/>
      <c r="J121" s="37"/>
      <c r="K121" s="2"/>
    </row>
    <row r="122" spans="1:11" s="5" customFormat="1" x14ac:dyDescent="0.2">
      <c r="A122" s="39"/>
      <c r="B122" s="20"/>
      <c r="C122" s="19"/>
      <c r="D122" s="19"/>
      <c r="E122" s="80"/>
      <c r="F122" s="19"/>
      <c r="G122" s="19"/>
      <c r="H122" s="37"/>
      <c r="I122" s="37"/>
      <c r="J122" s="37"/>
      <c r="K122" s="2"/>
    </row>
    <row r="123" spans="1:11" s="5" customFormat="1" x14ac:dyDescent="0.2">
      <c r="A123" s="39"/>
      <c r="B123" s="20"/>
      <c r="C123" s="19"/>
      <c r="D123" s="19"/>
      <c r="E123" s="80"/>
      <c r="F123" s="19"/>
      <c r="G123" s="19"/>
      <c r="H123" s="37"/>
      <c r="I123" s="37"/>
      <c r="J123" s="37"/>
      <c r="K123" s="2"/>
    </row>
    <row r="124" spans="1:11" s="5" customFormat="1" x14ac:dyDescent="0.2">
      <c r="A124" s="39"/>
      <c r="B124" s="20"/>
      <c r="C124" s="41" t="s">
        <v>139</v>
      </c>
      <c r="D124" s="41"/>
      <c r="E124" s="85"/>
      <c r="F124" s="41"/>
      <c r="G124" s="41"/>
      <c r="H124" s="63"/>
      <c r="I124" s="63"/>
      <c r="J124" s="63"/>
      <c r="K124" s="2"/>
    </row>
    <row r="125" spans="1:11" s="5" customFormat="1" x14ac:dyDescent="0.2">
      <c r="A125" s="39"/>
      <c r="B125" s="20"/>
      <c r="C125" s="41" t="s">
        <v>140</v>
      </c>
      <c r="D125" s="41"/>
      <c r="E125" s="85"/>
      <c r="F125" s="41"/>
      <c r="G125" s="41"/>
      <c r="H125" s="63"/>
      <c r="I125" s="63"/>
      <c r="J125" s="63"/>
      <c r="K125" s="2"/>
    </row>
    <row r="126" spans="1:11" s="5" customFormat="1" x14ac:dyDescent="0.2">
      <c r="A126" s="39"/>
      <c r="B126" s="20"/>
      <c r="C126" s="41" t="s">
        <v>141</v>
      </c>
      <c r="D126" s="41"/>
      <c r="E126" s="85"/>
      <c r="F126" s="41"/>
      <c r="G126" s="41"/>
      <c r="H126" s="63"/>
      <c r="I126" s="63"/>
      <c r="J126" s="63"/>
      <c r="K126" s="2"/>
    </row>
    <row r="127" spans="1:11" s="5" customFormat="1" x14ac:dyDescent="0.2">
      <c r="A127" s="39"/>
      <c r="B127" s="20"/>
      <c r="C127" s="41" t="s">
        <v>142</v>
      </c>
      <c r="D127" s="41"/>
      <c r="E127" s="85"/>
      <c r="F127" s="41"/>
      <c r="G127" s="41"/>
      <c r="H127" s="63"/>
      <c r="I127" s="63"/>
      <c r="J127" s="63"/>
      <c r="K127" s="2"/>
    </row>
    <row r="128" spans="1:11" s="5" customFormat="1" x14ac:dyDescent="0.2">
      <c r="A128" s="39"/>
      <c r="B128" s="20"/>
      <c r="C128" s="41" t="s">
        <v>143</v>
      </c>
      <c r="D128" s="41"/>
      <c r="E128" s="85"/>
      <c r="F128" s="41"/>
      <c r="G128" s="41"/>
      <c r="H128" s="63"/>
      <c r="I128" s="63"/>
      <c r="J128" s="63"/>
      <c r="K128" s="2"/>
    </row>
    <row r="129" spans="1:22" s="5" customFormat="1" x14ac:dyDescent="0.2">
      <c r="A129" s="39"/>
      <c r="B129" s="20"/>
      <c r="C129" s="41" t="s">
        <v>144</v>
      </c>
      <c r="D129" s="41"/>
      <c r="E129" s="85"/>
      <c r="F129" s="41"/>
      <c r="G129" s="41"/>
      <c r="H129" s="63"/>
      <c r="I129" s="63"/>
      <c r="J129" s="63"/>
      <c r="K129" s="2"/>
    </row>
    <row r="130" spans="1:22" s="5" customFormat="1" ht="13.5" customHeight="1" x14ac:dyDescent="0.2">
      <c r="A130" s="2"/>
      <c r="B130" s="2"/>
      <c r="C130" s="41" t="s">
        <v>145</v>
      </c>
      <c r="D130" s="41"/>
      <c r="E130" s="85"/>
      <c r="F130" s="41"/>
      <c r="G130" s="41"/>
      <c r="H130" s="63"/>
      <c r="I130" s="63"/>
      <c r="J130" s="63"/>
      <c r="K130" s="2"/>
    </row>
    <row r="131" spans="1:22" s="5" customFormat="1" x14ac:dyDescent="0.2">
      <c r="A131" s="2"/>
      <c r="B131" s="2"/>
      <c r="C131" s="41" t="s">
        <v>146</v>
      </c>
      <c r="D131" s="19"/>
      <c r="E131" s="80"/>
      <c r="F131" s="19"/>
      <c r="G131" s="19"/>
      <c r="H131" s="37"/>
      <c r="I131" s="37"/>
      <c r="J131" s="37"/>
      <c r="K131" s="2"/>
    </row>
    <row r="132" spans="1:22" s="5" customFormat="1" x14ac:dyDescent="0.2">
      <c r="A132" s="2"/>
      <c r="B132" s="2"/>
      <c r="C132" s="41"/>
      <c r="D132" s="19"/>
      <c r="E132" s="80"/>
      <c r="F132" s="19"/>
      <c r="G132" s="19"/>
      <c r="H132" s="37"/>
      <c r="I132" s="37"/>
      <c r="J132" s="37"/>
      <c r="K132" s="2"/>
    </row>
    <row r="133" spans="1:22" s="5" customFormat="1" x14ac:dyDescent="0.2">
      <c r="A133" s="2"/>
      <c r="B133" s="64"/>
      <c r="C133" s="64"/>
      <c r="D133" s="64"/>
      <c r="E133" s="86"/>
      <c r="F133" s="64"/>
      <c r="G133" s="64"/>
      <c r="H133" s="64"/>
      <c r="I133" s="64"/>
      <c r="J133" s="64"/>
      <c r="K133" s="64"/>
    </row>
    <row r="135" spans="1:22" x14ac:dyDescent="0.2">
      <c r="C135" s="41"/>
      <c r="D135" s="19"/>
      <c r="E135" s="80"/>
      <c r="F135" s="19"/>
      <c r="G135" s="19"/>
      <c r="H135" s="37"/>
      <c r="I135" s="37"/>
      <c r="J135" s="37"/>
    </row>
    <row r="136" spans="1:22" x14ac:dyDescent="0.2">
      <c r="A136" s="43" t="s">
        <v>147</v>
      </c>
      <c r="B136" s="33"/>
      <c r="C136" s="33"/>
      <c r="D136" s="33"/>
      <c r="E136" s="83"/>
      <c r="F136" s="33"/>
      <c r="G136" s="33"/>
      <c r="H136" s="33"/>
      <c r="I136" s="33"/>
      <c r="J136" s="33"/>
    </row>
    <row r="137" spans="1:22" s="33" customFormat="1" x14ac:dyDescent="0.2">
      <c r="A137" s="19" t="s">
        <v>228</v>
      </c>
      <c r="B137" s="20"/>
      <c r="C137" s="19"/>
      <c r="D137" s="19"/>
      <c r="E137" s="80"/>
      <c r="F137" s="19"/>
      <c r="G137" s="19"/>
      <c r="H137" s="2"/>
      <c r="I137" s="54">
        <f>'01 01 2017'!I147*1.025</f>
        <v>0.95935137856445263</v>
      </c>
      <c r="J137" s="33" t="s">
        <v>149</v>
      </c>
      <c r="L137" s="45"/>
      <c r="M137" s="34"/>
      <c r="N137" s="34"/>
      <c r="O137" s="34"/>
      <c r="P137" s="34"/>
      <c r="Q137" s="34"/>
      <c r="R137" s="34"/>
      <c r="S137" s="34"/>
      <c r="T137" s="34"/>
      <c r="U137" s="34"/>
      <c r="V137" s="34"/>
    </row>
    <row r="138" spans="1:22" x14ac:dyDescent="0.2">
      <c r="A138" s="19" t="s">
        <v>150</v>
      </c>
      <c r="B138" s="20"/>
      <c r="C138" s="19"/>
      <c r="D138" s="19"/>
      <c r="E138" s="80"/>
      <c r="F138" s="19"/>
      <c r="G138" s="19"/>
      <c r="I138" s="54">
        <f>'01 01 2017'!I148*1.025</f>
        <v>0.95935137856445263</v>
      </c>
      <c r="J138" s="33" t="s">
        <v>151</v>
      </c>
    </row>
    <row r="139" spans="1:22" x14ac:dyDescent="0.2">
      <c r="A139" s="19" t="s">
        <v>152</v>
      </c>
      <c r="B139" s="33"/>
      <c r="C139" s="33"/>
      <c r="D139" s="33"/>
      <c r="E139" s="83"/>
      <c r="F139" s="33"/>
      <c r="G139" s="33"/>
      <c r="H139" s="33"/>
      <c r="I139" s="33"/>
      <c r="J139" s="33"/>
    </row>
    <row r="140" spans="1:22" s="33" customFormat="1" ht="6.75" customHeight="1" x14ac:dyDescent="0.2">
      <c r="A140" s="39"/>
      <c r="E140" s="83"/>
      <c r="L140" s="45"/>
      <c r="M140" s="34"/>
      <c r="N140" s="34"/>
      <c r="O140" s="34"/>
      <c r="P140" s="34"/>
      <c r="Q140" s="34"/>
      <c r="R140" s="34"/>
      <c r="S140" s="34"/>
      <c r="T140" s="34"/>
      <c r="U140" s="34"/>
      <c r="V140" s="34"/>
    </row>
    <row r="141" spans="1:22" s="33" customFormat="1" x14ac:dyDescent="0.2">
      <c r="A141" s="43" t="s">
        <v>153</v>
      </c>
      <c r="B141" s="20"/>
      <c r="C141" s="19"/>
      <c r="D141" s="19"/>
      <c r="E141" s="80"/>
      <c r="F141" s="19"/>
      <c r="G141" s="19"/>
      <c r="H141" s="37"/>
      <c r="I141" s="37"/>
      <c r="J141" s="37"/>
      <c r="L141" s="45"/>
      <c r="M141" s="34"/>
      <c r="N141" s="34"/>
      <c r="O141" s="34"/>
      <c r="P141" s="34"/>
      <c r="Q141" s="34"/>
      <c r="R141" s="34"/>
      <c r="S141" s="34"/>
      <c r="T141" s="34"/>
      <c r="U141" s="34"/>
      <c r="V141" s="34"/>
    </row>
    <row r="142" spans="1:22" x14ac:dyDescent="0.2">
      <c r="A142" s="33" t="s">
        <v>154</v>
      </c>
      <c r="B142" s="20"/>
      <c r="C142" s="19"/>
      <c r="D142" s="19"/>
      <c r="E142" s="80"/>
      <c r="F142" s="19"/>
      <c r="G142" s="19"/>
      <c r="H142" s="37"/>
      <c r="I142" s="37"/>
      <c r="J142" s="37"/>
    </row>
    <row r="143" spans="1:22" x14ac:dyDescent="0.2">
      <c r="A143" s="52">
        <f>'01 01 2017'!A153*1.025</f>
        <v>0.46147871233361587</v>
      </c>
      <c r="B143" s="66" t="s">
        <v>155</v>
      </c>
      <c r="C143" s="33"/>
      <c r="D143" s="33"/>
      <c r="E143" s="83"/>
      <c r="F143" s="33"/>
      <c r="G143" s="33"/>
      <c r="H143" s="33"/>
      <c r="I143" s="33"/>
      <c r="J143" s="37"/>
    </row>
    <row r="144" spans="1:22" x14ac:dyDescent="0.2">
      <c r="A144" s="67" t="s">
        <v>156</v>
      </c>
      <c r="B144" s="33"/>
      <c r="C144" s="33"/>
      <c r="D144" s="33"/>
      <c r="E144" s="83"/>
      <c r="F144" s="33"/>
      <c r="G144" s="33"/>
      <c r="H144" s="33"/>
      <c r="I144" s="33"/>
      <c r="J144" s="33"/>
    </row>
    <row r="145" spans="1:22" s="33" customFormat="1" x14ac:dyDescent="0.2">
      <c r="A145" s="67" t="s">
        <v>157</v>
      </c>
      <c r="E145" s="83"/>
      <c r="L145" s="34"/>
      <c r="M145" s="34"/>
      <c r="N145" s="34"/>
      <c r="O145" s="34"/>
      <c r="P145" s="34"/>
      <c r="Q145" s="34"/>
      <c r="R145" s="34"/>
      <c r="S145" s="34"/>
      <c r="T145" s="34"/>
      <c r="U145" s="34"/>
      <c r="V145" s="34"/>
    </row>
    <row r="146" spans="1:22" s="33" customFormat="1" x14ac:dyDescent="0.2">
      <c r="A146" s="39"/>
      <c r="B146" s="66"/>
      <c r="C146" s="66"/>
      <c r="E146" s="83"/>
      <c r="L146" s="45"/>
      <c r="M146" s="34"/>
      <c r="N146" s="34"/>
      <c r="O146" s="34"/>
      <c r="P146" s="34"/>
      <c r="Q146" s="34"/>
      <c r="R146" s="34"/>
      <c r="S146" s="34"/>
      <c r="T146" s="34"/>
      <c r="U146" s="34"/>
      <c r="V146" s="34"/>
    </row>
    <row r="147" spans="1:22" s="33" customFormat="1" x14ac:dyDescent="0.2">
      <c r="A147" s="56" t="s">
        <v>158</v>
      </c>
      <c r="E147" s="83"/>
      <c r="L147" s="34"/>
      <c r="M147" s="34"/>
      <c r="N147" s="34"/>
      <c r="O147" s="34"/>
      <c r="P147" s="34"/>
      <c r="Q147" s="34"/>
      <c r="R147" s="34"/>
      <c r="S147" s="34"/>
      <c r="T147" s="34"/>
      <c r="U147" s="34"/>
      <c r="V147" s="34"/>
    </row>
    <row r="148" spans="1:22" s="33" customFormat="1" x14ac:dyDescent="0.2">
      <c r="A148" s="33" t="s">
        <v>159</v>
      </c>
      <c r="B148" s="20"/>
      <c r="C148" s="68"/>
      <c r="D148" s="19"/>
      <c r="E148" s="80"/>
      <c r="F148" s="19"/>
      <c r="G148" s="19"/>
      <c r="I148" s="37"/>
      <c r="J148" s="37"/>
      <c r="L148" s="34"/>
      <c r="M148" s="34"/>
      <c r="N148" s="34"/>
      <c r="O148" s="34"/>
      <c r="P148" s="34"/>
      <c r="Q148" s="34"/>
      <c r="R148" s="34"/>
      <c r="S148" s="34"/>
      <c r="T148" s="34"/>
      <c r="U148" s="34"/>
      <c r="V148" s="34"/>
    </row>
    <row r="149" spans="1:22" x14ac:dyDescent="0.2">
      <c r="A149" s="33" t="s">
        <v>160</v>
      </c>
      <c r="B149" s="19"/>
      <c r="C149" s="19"/>
      <c r="D149" s="19"/>
      <c r="E149" s="80"/>
      <c r="F149" s="19"/>
      <c r="G149" s="19"/>
      <c r="H149" s="37"/>
      <c r="I149" s="37"/>
      <c r="J149" s="37"/>
    </row>
    <row r="150" spans="1:22" x14ac:dyDescent="0.2">
      <c r="A150" s="33" t="s">
        <v>161</v>
      </c>
      <c r="B150" s="69"/>
      <c r="C150" s="41"/>
      <c r="D150" s="41"/>
      <c r="E150" s="85"/>
      <c r="F150" s="41"/>
      <c r="G150" s="41"/>
      <c r="H150" s="63"/>
      <c r="I150" s="63"/>
      <c r="J150" s="63"/>
    </row>
    <row r="151" spans="1:22" x14ac:dyDescent="0.2">
      <c r="A151" s="33" t="s">
        <v>162</v>
      </c>
      <c r="B151" s="69"/>
      <c r="C151" s="41"/>
      <c r="D151" s="41"/>
      <c r="E151" s="85"/>
      <c r="F151" s="41"/>
      <c r="G151" s="41"/>
      <c r="H151" s="63"/>
      <c r="I151" s="63"/>
      <c r="J151" s="63"/>
    </row>
    <row r="152" spans="1:22" x14ac:dyDescent="0.2">
      <c r="A152" s="33" t="s">
        <v>163</v>
      </c>
      <c r="B152" s="69"/>
      <c r="C152" s="41"/>
      <c r="D152" s="41"/>
      <c r="E152" s="85"/>
      <c r="F152" s="41"/>
      <c r="G152" s="41"/>
      <c r="H152" s="63"/>
      <c r="I152" s="63"/>
      <c r="J152" s="63"/>
    </row>
    <row r="153" spans="1:22" x14ac:dyDescent="0.2">
      <c r="A153" s="33" t="s">
        <v>164</v>
      </c>
      <c r="B153" s="69"/>
      <c r="C153" s="41"/>
      <c r="D153" s="41"/>
      <c r="E153" s="85"/>
      <c r="F153" s="41"/>
      <c r="G153" s="41"/>
      <c r="H153" s="63"/>
      <c r="I153" s="63"/>
      <c r="J153" s="63"/>
    </row>
    <row r="154" spans="1:22" x14ac:dyDescent="0.2">
      <c r="A154" s="19" t="s">
        <v>165</v>
      </c>
      <c r="B154" s="69"/>
      <c r="C154" s="41"/>
      <c r="D154" s="41"/>
      <c r="E154" s="85"/>
      <c r="F154" s="41"/>
      <c r="G154" s="41"/>
      <c r="H154" s="63"/>
      <c r="I154" s="63"/>
      <c r="J154" s="63"/>
    </row>
    <row r="155" spans="1:22" x14ac:dyDescent="0.2">
      <c r="A155" s="19"/>
      <c r="B155" s="69"/>
      <c r="C155" s="41"/>
      <c r="D155" s="41"/>
      <c r="E155" s="85"/>
      <c r="F155" s="41"/>
      <c r="G155" s="41"/>
      <c r="H155" s="63"/>
      <c r="I155" s="63"/>
      <c r="J155" s="63"/>
    </row>
    <row r="156" spans="1:22" x14ac:dyDescent="0.2">
      <c r="A156" s="70" t="s">
        <v>166</v>
      </c>
      <c r="B156" s="69"/>
      <c r="C156" s="41"/>
      <c r="D156" s="41"/>
      <c r="E156" s="85"/>
      <c r="F156" s="41"/>
      <c r="G156" s="41"/>
      <c r="H156" s="63"/>
      <c r="I156" s="63"/>
      <c r="J156" s="63"/>
    </row>
    <row r="157" spans="1:22" x14ac:dyDescent="0.2">
      <c r="A157" s="39" t="s">
        <v>167</v>
      </c>
      <c r="B157" s="69"/>
      <c r="C157" s="41"/>
      <c r="D157" s="41"/>
      <c r="E157" s="85"/>
      <c r="F157" s="41"/>
      <c r="G157" s="41"/>
      <c r="H157" s="37"/>
      <c r="I157" s="37"/>
      <c r="J157" s="37"/>
    </row>
    <row r="158" spans="1:22" x14ac:dyDescent="0.2">
      <c r="A158" s="71"/>
      <c r="B158" s="20"/>
      <c r="C158" s="19"/>
      <c r="D158" s="19"/>
      <c r="E158" s="80"/>
      <c r="F158" s="19"/>
      <c r="G158" s="19"/>
      <c r="H158" s="37"/>
      <c r="I158" s="37"/>
      <c r="J158" s="37"/>
    </row>
    <row r="159" spans="1:22" x14ac:dyDescent="0.2">
      <c r="A159" s="70" t="s">
        <v>168</v>
      </c>
      <c r="B159" s="20"/>
      <c r="C159" s="19"/>
      <c r="D159" s="19"/>
      <c r="E159" s="80"/>
      <c r="F159" s="19"/>
      <c r="G159" s="19"/>
      <c r="H159" s="37"/>
      <c r="I159" s="37"/>
      <c r="J159" s="37"/>
    </row>
    <row r="160" spans="1:22" x14ac:dyDescent="0.2">
      <c r="A160" s="102" t="s">
        <v>218</v>
      </c>
      <c r="B160" s="20"/>
      <c r="C160" s="19"/>
      <c r="D160" s="19"/>
      <c r="E160" s="80"/>
      <c r="F160" s="19"/>
      <c r="G160" s="19"/>
      <c r="H160" s="37"/>
      <c r="I160" s="37"/>
      <c r="J160" s="37"/>
    </row>
    <row r="161" spans="1:22" x14ac:dyDescent="0.2">
      <c r="A161" s="102" t="s">
        <v>219</v>
      </c>
      <c r="B161" s="20"/>
      <c r="C161" s="19"/>
      <c r="D161" s="19"/>
      <c r="E161" s="80"/>
      <c r="F161" s="19"/>
      <c r="G161" s="19"/>
      <c r="H161" s="37"/>
      <c r="I161" s="37"/>
      <c r="J161" s="37"/>
    </row>
    <row r="162" spans="1:22" x14ac:dyDescent="0.2">
      <c r="A162" s="19" t="s">
        <v>220</v>
      </c>
      <c r="B162" s="20"/>
      <c r="C162" s="19"/>
      <c r="D162" s="19"/>
      <c r="E162" s="80"/>
      <c r="F162" s="19"/>
      <c r="G162" s="19"/>
      <c r="H162" s="37"/>
      <c r="I162" s="37"/>
      <c r="J162" s="37"/>
    </row>
    <row r="163" spans="1:22" x14ac:dyDescent="0.2">
      <c r="A163" s="19" t="s">
        <v>221</v>
      </c>
      <c r="B163" s="20"/>
      <c r="C163" s="19"/>
      <c r="D163" s="19"/>
      <c r="E163" s="80"/>
      <c r="F163" s="19"/>
      <c r="G163" s="19"/>
      <c r="H163" s="37"/>
      <c r="I163" s="37"/>
      <c r="J163" s="37"/>
    </row>
    <row r="164" spans="1:22" x14ac:dyDescent="0.2">
      <c r="A164" s="72"/>
      <c r="B164" s="33"/>
      <c r="C164" s="33"/>
      <c r="D164" s="33"/>
      <c r="E164" s="83"/>
      <c r="F164" s="33"/>
      <c r="G164" s="33"/>
      <c r="H164" s="33"/>
      <c r="I164" s="33"/>
      <c r="J164" s="33"/>
    </row>
    <row r="165" spans="1:22" x14ac:dyDescent="0.2">
      <c r="A165" s="70" t="s">
        <v>171</v>
      </c>
      <c r="B165" s="33"/>
      <c r="C165" s="33"/>
      <c r="D165" s="33"/>
      <c r="E165" s="83"/>
      <c r="F165" s="33"/>
      <c r="G165" s="33"/>
      <c r="H165" s="33"/>
      <c r="I165" s="33"/>
      <c r="J165" s="33"/>
    </row>
    <row r="166" spans="1:22" s="33" customFormat="1" x14ac:dyDescent="0.2">
      <c r="A166" s="57" t="s">
        <v>217</v>
      </c>
      <c r="E166" s="83"/>
      <c r="L166" s="34"/>
      <c r="M166" s="34"/>
      <c r="N166" s="34"/>
      <c r="O166" s="34"/>
      <c r="P166" s="34"/>
      <c r="Q166" s="34"/>
      <c r="R166" s="34"/>
      <c r="S166" s="34"/>
      <c r="T166" s="34"/>
      <c r="U166" s="34"/>
      <c r="V166" s="34"/>
    </row>
    <row r="167" spans="1:22" s="33" customFormat="1" x14ac:dyDescent="0.2">
      <c r="A167" s="72" t="s">
        <v>173</v>
      </c>
      <c r="B167" s="72"/>
      <c r="C167" s="72"/>
      <c r="D167" s="72"/>
      <c r="E167" s="87"/>
      <c r="F167" s="73"/>
      <c r="G167" s="73"/>
      <c r="H167" s="37"/>
      <c r="I167" s="37"/>
      <c r="J167" s="55"/>
      <c r="L167" s="45"/>
      <c r="M167" s="34"/>
      <c r="N167" s="34"/>
      <c r="O167" s="34"/>
      <c r="P167" s="34"/>
      <c r="Q167" s="34"/>
      <c r="R167" s="34"/>
      <c r="S167" s="34"/>
      <c r="T167" s="34"/>
      <c r="U167" s="34"/>
      <c r="V167" s="34"/>
    </row>
    <row r="168" spans="1:22" x14ac:dyDescent="0.2">
      <c r="A168" s="52">
        <f>'01 01 2017'!A181*1.025</f>
        <v>0.23837195573466677</v>
      </c>
      <c r="B168" s="57" t="s">
        <v>174</v>
      </c>
      <c r="C168" s="72"/>
      <c r="D168" s="72"/>
      <c r="E168" s="87"/>
      <c r="F168" s="73"/>
      <c r="G168" s="73"/>
      <c r="H168" s="37"/>
      <c r="I168" s="37"/>
      <c r="J168" s="55"/>
    </row>
    <row r="169" spans="1:22" s="5" customFormat="1" x14ac:dyDescent="0.2">
      <c r="A169" s="52">
        <f>'01 01 2017'!A182*1.025</f>
        <v>0.40041791579074565</v>
      </c>
      <c r="B169" s="57" t="s">
        <v>175</v>
      </c>
      <c r="C169" s="72"/>
      <c r="D169" s="72"/>
      <c r="E169" s="87"/>
      <c r="F169" s="73"/>
      <c r="G169" s="73"/>
      <c r="H169" s="37"/>
      <c r="I169" s="37"/>
      <c r="J169" s="55"/>
      <c r="K169" s="2"/>
      <c r="L169" s="50"/>
    </row>
    <row r="170" spans="1:22" s="5" customFormat="1" x14ac:dyDescent="0.2">
      <c r="A170" s="52">
        <f>'01 01 2017'!A183*1.025</f>
        <v>0.47439541929460771</v>
      </c>
      <c r="B170" s="57" t="s">
        <v>176</v>
      </c>
      <c r="C170" s="72"/>
      <c r="D170" s="72"/>
      <c r="E170" s="87"/>
      <c r="F170" s="73"/>
      <c r="G170" s="73"/>
      <c r="H170" s="37"/>
      <c r="I170" s="37"/>
      <c r="J170" s="55"/>
      <c r="K170" s="2"/>
      <c r="L170" s="50"/>
    </row>
    <row r="171" spans="1:22" s="5" customFormat="1" x14ac:dyDescent="0.2">
      <c r="A171" s="52">
        <f>'01 01 2017'!A184*1.025</f>
        <v>0.68106273067047651</v>
      </c>
      <c r="B171" s="57" t="s">
        <v>177</v>
      </c>
      <c r="C171" s="72"/>
      <c r="D171" s="72"/>
      <c r="E171" s="87"/>
      <c r="F171" s="73"/>
      <c r="G171" s="73"/>
      <c r="H171" s="37"/>
      <c r="I171" s="37"/>
      <c r="J171" s="55"/>
      <c r="K171" s="2"/>
      <c r="L171" s="50"/>
    </row>
    <row r="172" spans="1:22" s="5" customFormat="1" x14ac:dyDescent="0.2">
      <c r="A172" s="53"/>
      <c r="B172" s="57"/>
      <c r="C172" s="72"/>
      <c r="D172" s="72"/>
      <c r="E172" s="87"/>
      <c r="F172" s="73"/>
      <c r="G172" s="73"/>
      <c r="H172" s="37"/>
      <c r="I172" s="37"/>
      <c r="J172" s="55"/>
      <c r="K172" s="2"/>
      <c r="L172" s="50"/>
    </row>
    <row r="173" spans="1:22" s="5" customFormat="1" x14ac:dyDescent="0.2">
      <c r="A173" s="70" t="s">
        <v>178</v>
      </c>
      <c r="B173" s="2"/>
      <c r="C173" s="2"/>
      <c r="D173" s="2"/>
      <c r="E173" s="77"/>
      <c r="F173" s="2"/>
      <c r="G173" s="2"/>
      <c r="H173" s="2"/>
      <c r="I173" s="2"/>
      <c r="J173" s="2"/>
      <c r="K173" s="2"/>
      <c r="L173" s="50"/>
    </row>
    <row r="174" spans="1:22" s="5" customFormat="1" x14ac:dyDescent="0.2">
      <c r="A174" s="74" t="s">
        <v>179</v>
      </c>
      <c r="B174" s="2"/>
      <c r="C174" s="2"/>
      <c r="D174" s="2"/>
      <c r="E174" s="77"/>
      <c r="F174" s="2"/>
      <c r="G174" s="2"/>
      <c r="H174" s="2"/>
      <c r="I174" s="2"/>
      <c r="J174" s="2"/>
      <c r="K174" s="2"/>
    </row>
    <row r="175" spans="1:22" s="5" customFormat="1" x14ac:dyDescent="0.2">
      <c r="A175" s="74" t="s">
        <v>180</v>
      </c>
      <c r="B175" s="2"/>
      <c r="C175" s="2"/>
      <c r="D175" s="2"/>
      <c r="E175" s="77"/>
      <c r="F175" s="2"/>
      <c r="G175" s="2"/>
      <c r="H175" s="2"/>
      <c r="I175" s="2"/>
      <c r="J175" s="2"/>
      <c r="K175" s="2"/>
    </row>
    <row r="176" spans="1:22" s="5" customFormat="1" x14ac:dyDescent="0.2">
      <c r="A176" s="74"/>
      <c r="B176" s="2"/>
      <c r="C176" s="2"/>
      <c r="D176" s="2"/>
      <c r="E176" s="77"/>
      <c r="F176" s="2"/>
      <c r="G176" s="2"/>
      <c r="H176" s="2"/>
      <c r="I176" s="2"/>
      <c r="J176" s="2"/>
      <c r="K176" s="2"/>
    </row>
    <row r="178" spans="1:1" x14ac:dyDescent="0.2">
      <c r="A178" s="70" t="s">
        <v>199</v>
      </c>
    </row>
  </sheetData>
  <printOptions gridLines="1"/>
  <pageMargins left="0.25" right="0.25" top="0.75" bottom="0.75" header="0.3" footer="0.3"/>
  <pageSetup orientation="landscape" r:id="rId1"/>
  <headerFooter alignWithMargins="0"/>
  <ignoredErrors>
    <ignoredError sqref="C6:C11 C2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34"/>
  </sheetPr>
  <dimension ref="A1:W180"/>
  <sheetViews>
    <sheetView workbookViewId="0">
      <selection activeCell="I5" sqref="I5"/>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4257812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237</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((('10 14 2018'!H5+1)*1.025)-1)-0.5</f>
        <v>27.834744704413929</v>
      </c>
      <c r="I5" s="15">
        <f>((('10 14 2018'!I5+1)*1.025)-1)-0.5</f>
        <v>29.056046976895392</v>
      </c>
      <c r="J5" s="4"/>
      <c r="K5" s="15">
        <f>I5+1.5</f>
        <v>30.556046976895392</v>
      </c>
      <c r="L5" s="16"/>
      <c r="M5" s="16"/>
      <c r="N5" s="16"/>
      <c r="O5" s="16"/>
      <c r="Q5" s="16"/>
      <c r="R5" s="17"/>
      <c r="S5" s="16"/>
      <c r="T5" s="16"/>
    </row>
    <row r="6" spans="1:23" x14ac:dyDescent="0.2">
      <c r="A6" s="4" t="s">
        <v>15</v>
      </c>
      <c r="B6" s="4" t="s">
        <v>184</v>
      </c>
      <c r="C6" s="75" t="s">
        <v>196</v>
      </c>
      <c r="D6" s="3" t="s">
        <v>16</v>
      </c>
      <c r="E6" s="79">
        <v>283</v>
      </c>
      <c r="F6" s="4">
        <v>6</v>
      </c>
      <c r="G6" s="4" t="s">
        <v>14</v>
      </c>
      <c r="H6" s="15">
        <f>((('10 14 2018'!H6+1)*1.025)-1)-0.5</f>
        <v>25.942021182616546</v>
      </c>
      <c r="I6" s="15">
        <f>((('10 14 2018'!I6+1)*1.025)-1)-0.5</f>
        <v>28.241845461907754</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((('10 14 2018'!H7+1)*1.025)-1)-0.5</f>
        <v>30.352869389897474</v>
      </c>
      <c r="I7" s="15">
        <f>((('10 14 2018'!I7+1)*1.025)-1)-0.5</f>
        <v>32.820253980968744</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((('10 14 2018'!H8+1)*1.025)-1)-0.5</f>
        <v>32.959494240053594</v>
      </c>
      <c r="I8" s="15">
        <f>((('10 14 2018'!I8+1)*1.025)-1)-0.5</f>
        <v>36.235180335134345</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((('10 14 2018'!H9+1)*1.025)-1)-0.5</f>
        <v>26.801062781038297</v>
      </c>
      <c r="I9" s="15">
        <f>((('10 14 2018'!I9+1)*1.025)-1)-0.5</f>
        <v>28.765766436769365</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((('10 14 2018'!H10+1)*1.025)-1)-0.5</f>
        <v>27.834744704413929</v>
      </c>
      <c r="I10" s="15">
        <f>((('10 14 2018'!I10+1)*1.025)-1)-0.5</f>
        <v>29.056046976895392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((('10 14 2018'!I11+1)*1.025)-1)-0.5</f>
        <v>30.666668993393351</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15"/>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15">
        <f>((('10 14 2018'!I13+1)*1.025)-1)-0.5</f>
        <v>27.478569943186169</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15">
        <f>((('10 14 2018'!I14+1)*1.025)-1)-0.5</f>
        <v>28.42631382586903</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15">
        <f>((('10 14 2018'!I15+1)*1.025)-1)-0.5</f>
        <v>29.173098881710469</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15">
        <f>((('10 14 2018'!I16+1)*1.025)-1)-0.5</f>
        <v>29.919883937551909</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15">
        <f>((('10 14 2018'!I17+1)*1.025)-1)-0.5</f>
        <v>30.666668993393351</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15"/>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15"/>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15">
        <f>((('10 14 2018'!I20+1)*1.025)-1)-0.5</f>
        <v>28.341263544332399</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15">
        <f>((('10 14 2018'!I21+1)*1.025)-1)-0.5</f>
        <v>29.079750749730287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15">
        <f>((('10 14 2018'!I22+1)*1.025)-1)-0.5</f>
        <v>29.608723497617977</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15">
        <f>((('10 14 2018'!I23+1)*1.025)-1)-0.5</f>
        <v>30.137696245505662</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15">
        <f>((('10 14 2018'!I24+1)*1.025)-1)-0.5</f>
        <v>30.666668993393351</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15"/>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15"/>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((('10 14 2018'!H27+1)*1.025)-1)-0.5</f>
        <v>27.56616694976838</v>
      </c>
      <c r="I27" s="15">
        <f>((('10 14 2018'!I27+1)*1.025)-1)-0.5</f>
        <v>28.801166502638395</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236</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'10 14 2018'!G38*1.025</f>
        <v>1.180002195634277</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232</v>
      </c>
      <c r="E40" s="83"/>
      <c r="G40" s="4"/>
      <c r="M40" s="34"/>
      <c r="N40" s="34"/>
      <c r="O40" s="34"/>
      <c r="P40" s="34"/>
      <c r="Q40" s="34"/>
      <c r="R40" s="34"/>
      <c r="S40" s="34"/>
      <c r="T40" s="34"/>
      <c r="U40" s="34"/>
      <c r="V40" s="34"/>
    </row>
    <row r="41" spans="1:22" x14ac:dyDescent="0.2">
      <c r="A41" s="39" t="s">
        <v>51</v>
      </c>
      <c r="B41" s="33"/>
      <c r="C41" s="33"/>
      <c r="D41" s="33"/>
      <c r="G41" s="76">
        <f>'10 14 2018'!G41*1.025</f>
        <v>1.9319643791267083</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'10 14 2018'!G44*1.025</f>
        <v>1.7700032934514152</v>
      </c>
      <c r="H44" s="42" t="s">
        <v>53</v>
      </c>
      <c r="I44" s="37"/>
      <c r="J44" s="37"/>
    </row>
    <row r="45" spans="1:22" x14ac:dyDescent="0.2">
      <c r="A45" s="19" t="s">
        <v>234</v>
      </c>
      <c r="C45" s="41"/>
      <c r="D45" s="19"/>
      <c r="E45" s="80"/>
      <c r="F45" s="19"/>
      <c r="G45" s="19"/>
      <c r="H45" s="37"/>
      <c r="I45" s="37"/>
      <c r="J45" s="37"/>
    </row>
    <row r="46" spans="1:22" x14ac:dyDescent="0.2">
      <c r="A46" s="2" t="s">
        <v>215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'10 14 2018'!A52*1.025</f>
        <v>0.29500054890856925</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'10 14 2018'!F60*1.025</f>
        <v>1.8439186309859461</v>
      </c>
      <c r="G60" s="19" t="s">
        <v>67</v>
      </c>
      <c r="L60" s="34"/>
      <c r="M60" s="34"/>
      <c r="N60" s="34"/>
      <c r="O60" s="34"/>
      <c r="P60" s="34"/>
      <c r="Q60" s="34"/>
      <c r="R60" s="34"/>
      <c r="S60" s="34"/>
      <c r="T60" s="34"/>
      <c r="U60" s="34"/>
      <c r="V60" s="34"/>
    </row>
    <row r="61" spans="1:23" s="33" customFormat="1" x14ac:dyDescent="0.2">
      <c r="A61" s="47" t="s">
        <v>68</v>
      </c>
      <c r="E61" s="83"/>
      <c r="F61" s="48">
        <f>'10 14 2018'!F61*1.025</f>
        <v>1.3263696679807528</v>
      </c>
      <c r="G61" s="19" t="s">
        <v>67</v>
      </c>
      <c r="L61" s="34"/>
      <c r="M61" s="34"/>
      <c r="N61" s="34"/>
      <c r="O61" s="34"/>
      <c r="P61" s="34"/>
      <c r="Q61" s="34"/>
      <c r="R61" s="34"/>
      <c r="S61" s="34"/>
      <c r="T61" s="34"/>
      <c r="U61" s="34"/>
      <c r="V61" s="34"/>
    </row>
    <row r="62" spans="1:23" x14ac:dyDescent="0.2">
      <c r="A62" s="47" t="s">
        <v>69</v>
      </c>
      <c r="B62" s="20"/>
      <c r="C62" s="19"/>
      <c r="D62" s="19"/>
      <c r="E62" s="80"/>
      <c r="F62" s="49">
        <f>'10 14 2018'!F62*1.025</f>
        <v>0.8846476460670174</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22" x14ac:dyDescent="0.2">
      <c r="A65" s="18" t="s">
        <v>71</v>
      </c>
      <c r="B65" s="20"/>
      <c r="C65" s="19"/>
      <c r="D65" s="19"/>
      <c r="E65" s="80"/>
      <c r="F65" s="19"/>
      <c r="G65" s="19"/>
      <c r="H65" s="37"/>
      <c r="I65" s="37"/>
      <c r="J65" s="37"/>
    </row>
    <row r="66" spans="1:22" x14ac:dyDescent="0.2">
      <c r="A66" s="18" t="s">
        <v>72</v>
      </c>
      <c r="B66" s="20"/>
      <c r="C66" s="19"/>
      <c r="D66" s="19"/>
      <c r="E66" s="80"/>
      <c r="F66" s="19"/>
      <c r="G66" s="19"/>
      <c r="H66" s="37"/>
      <c r="I66" s="37"/>
      <c r="J66" s="37"/>
    </row>
    <row r="67" spans="1:22" x14ac:dyDescent="0.2">
      <c r="A67" s="52">
        <f>'10 14 2018'!A67</f>
        <v>0.7605256846041093</v>
      </c>
      <c r="B67" s="39" t="s">
        <v>73</v>
      </c>
      <c r="C67" s="19"/>
      <c r="D67" s="19"/>
      <c r="E67" s="80"/>
      <c r="F67" s="19"/>
      <c r="G67" s="19"/>
      <c r="H67" s="37"/>
      <c r="I67" s="37"/>
      <c r="J67" s="37"/>
    </row>
    <row r="68" spans="1:22" x14ac:dyDescent="0.2">
      <c r="A68" s="18" t="s">
        <v>74</v>
      </c>
      <c r="B68" s="20"/>
      <c r="C68" s="19"/>
      <c r="D68" s="19"/>
      <c r="E68" s="80"/>
      <c r="F68" s="19"/>
      <c r="G68" s="19"/>
      <c r="H68" s="53"/>
      <c r="I68" s="37"/>
      <c r="J68" s="37"/>
    </row>
    <row r="69" spans="1:22" x14ac:dyDescent="0.2">
      <c r="A69" s="52">
        <f>'10 14 2018'!A69</f>
        <v>0.7605256846041093</v>
      </c>
      <c r="B69" s="18" t="s">
        <v>75</v>
      </c>
      <c r="C69" s="19"/>
      <c r="D69" s="19"/>
      <c r="E69" s="80"/>
      <c r="F69" s="19"/>
      <c r="G69" s="19"/>
      <c r="I69" s="37"/>
      <c r="J69" s="37"/>
      <c r="L69" s="50"/>
    </row>
    <row r="70" spans="1:22" x14ac:dyDescent="0.2">
      <c r="A70" s="18" t="s">
        <v>76</v>
      </c>
      <c r="B70" s="20"/>
      <c r="C70" s="19"/>
      <c r="D70" s="19"/>
      <c r="E70" s="80"/>
      <c r="F70" s="19"/>
      <c r="G70" s="19"/>
      <c r="I70" s="37"/>
      <c r="J70" s="37"/>
      <c r="L70" s="50"/>
    </row>
    <row r="71" spans="1:22" x14ac:dyDescent="0.2">
      <c r="A71" s="18" t="s">
        <v>77</v>
      </c>
      <c r="B71" s="20"/>
      <c r="C71" s="19"/>
      <c r="D71" s="19"/>
      <c r="E71" s="80"/>
      <c r="F71" s="19"/>
      <c r="G71" s="19"/>
      <c r="H71" s="37"/>
      <c r="I71" s="37"/>
      <c r="J71" s="37"/>
    </row>
    <row r="72" spans="1:22" x14ac:dyDescent="0.2">
      <c r="A72" s="54">
        <f>'10 14 2018'!A72</f>
        <v>0.76100000000000001</v>
      </c>
      <c r="B72" s="19" t="s">
        <v>78</v>
      </c>
      <c r="E72" s="80"/>
      <c r="F72" s="19"/>
      <c r="G72" s="19"/>
      <c r="H72" s="37"/>
      <c r="I72" s="37"/>
      <c r="J72" s="37"/>
    </row>
    <row r="73" spans="1:22" x14ac:dyDescent="0.2">
      <c r="A73" s="18"/>
      <c r="B73" s="20"/>
      <c r="C73" s="19"/>
      <c r="D73" s="19"/>
      <c r="E73" s="80"/>
      <c r="F73" s="19"/>
      <c r="G73" s="19"/>
      <c r="H73" s="37"/>
      <c r="I73" s="37"/>
      <c r="J73" s="37"/>
    </row>
    <row r="74" spans="1:22" x14ac:dyDescent="0.2">
      <c r="G74" s="19"/>
      <c r="H74" s="37"/>
      <c r="I74" s="37"/>
      <c r="J74" s="37"/>
      <c r="L74" s="50"/>
    </row>
    <row r="75" spans="1:22" x14ac:dyDescent="0.2">
      <c r="A75" s="43" t="s">
        <v>79</v>
      </c>
      <c r="B75" s="51"/>
      <c r="C75" s="49">
        <v>0.7605256846041093</v>
      </c>
      <c r="D75" s="19" t="s">
        <v>206</v>
      </c>
      <c r="E75" s="80"/>
      <c r="F75" s="19"/>
      <c r="G75" s="19"/>
      <c r="H75" s="37"/>
      <c r="I75" s="55" t="s">
        <v>80</v>
      </c>
      <c r="J75" s="37"/>
      <c r="L75" s="50"/>
    </row>
    <row r="76" spans="1:22" x14ac:dyDescent="0.2">
      <c r="A76" s="39" t="s">
        <v>81</v>
      </c>
      <c r="B76" s="20"/>
      <c r="C76" s="19"/>
      <c r="D76" s="19"/>
      <c r="E76" s="80"/>
      <c r="F76" s="19"/>
      <c r="G76" s="19"/>
      <c r="H76" s="37"/>
      <c r="I76" s="37"/>
      <c r="J76" s="19"/>
    </row>
    <row r="77" spans="1:22" x14ac:dyDescent="0.2">
      <c r="A77" s="39"/>
      <c r="B77" s="20"/>
      <c r="C77" s="19"/>
      <c r="D77" s="19"/>
      <c r="E77" s="80"/>
      <c r="F77" s="19"/>
      <c r="G77" s="19"/>
    </row>
    <row r="78" spans="1:22" x14ac:dyDescent="0.2">
      <c r="A78" s="56" t="s">
        <v>82</v>
      </c>
      <c r="B78" s="20"/>
      <c r="C78" s="19"/>
      <c r="D78" s="19"/>
      <c r="E78" s="80"/>
      <c r="F78" s="19"/>
      <c r="G78" s="19"/>
      <c r="H78" s="55" t="s">
        <v>83</v>
      </c>
      <c r="I78" s="54">
        <f>$C$75</f>
        <v>0.7605256846041093</v>
      </c>
      <c r="J78" s="2" t="s">
        <v>84</v>
      </c>
    </row>
    <row r="79" spans="1:22" x14ac:dyDescent="0.2">
      <c r="A79" s="57" t="s">
        <v>85</v>
      </c>
      <c r="B79" s="19"/>
      <c r="D79" s="19"/>
      <c r="E79" s="80"/>
      <c r="F79" s="19"/>
      <c r="G79" s="19"/>
      <c r="H79" s="58"/>
      <c r="I79" s="33"/>
      <c r="J79" s="33"/>
    </row>
    <row r="80" spans="1:22" s="33" customFormat="1" x14ac:dyDescent="0.2">
      <c r="A80" s="57" t="s">
        <v>86</v>
      </c>
      <c r="B80" s="20"/>
      <c r="C80" s="19"/>
      <c r="D80" s="19"/>
      <c r="E80" s="80"/>
      <c r="F80" s="19"/>
      <c r="G80" s="19"/>
      <c r="H80" s="58"/>
      <c r="L80" s="34"/>
      <c r="M80" s="34"/>
      <c r="N80" s="34"/>
      <c r="O80" s="34"/>
      <c r="P80" s="34"/>
      <c r="Q80" s="34"/>
      <c r="R80" s="34"/>
      <c r="S80" s="34"/>
      <c r="T80" s="34"/>
      <c r="U80" s="34"/>
      <c r="V80" s="34"/>
    </row>
    <row r="81" spans="1:23" s="33" customFormat="1" x14ac:dyDescent="0.2">
      <c r="A81" s="39" t="s">
        <v>87</v>
      </c>
      <c r="E81" s="83"/>
      <c r="H81" s="55"/>
      <c r="I81" s="37"/>
      <c r="J81" s="37"/>
      <c r="L81" s="34"/>
      <c r="M81" s="34"/>
      <c r="N81" s="34"/>
      <c r="O81" s="34"/>
      <c r="P81" s="34"/>
      <c r="Q81" s="34"/>
      <c r="R81" s="34"/>
      <c r="S81" s="34"/>
      <c r="T81" s="34"/>
      <c r="U81" s="34"/>
      <c r="V81" s="34"/>
    </row>
    <row r="82" spans="1:23" s="33" customFormat="1" x14ac:dyDescent="0.2">
      <c r="A82" s="39"/>
      <c r="E82" s="83"/>
      <c r="H82" s="55"/>
      <c r="I82" s="37"/>
      <c r="J82" s="37"/>
      <c r="L82" s="34"/>
      <c r="M82" s="34"/>
      <c r="N82" s="34"/>
      <c r="O82" s="34"/>
      <c r="P82" s="34"/>
      <c r="Q82" s="34"/>
      <c r="R82" s="34"/>
      <c r="S82" s="34"/>
      <c r="T82" s="34"/>
      <c r="U82" s="34"/>
      <c r="V82" s="34"/>
    </row>
    <row r="83" spans="1:23" x14ac:dyDescent="0.2">
      <c r="A83" s="39" t="s">
        <v>88</v>
      </c>
      <c r="B83" s="33"/>
      <c r="C83" s="33"/>
      <c r="D83" s="33"/>
      <c r="E83" s="83"/>
      <c r="F83" s="33"/>
      <c r="G83" s="33"/>
      <c r="H83" s="55" t="s">
        <v>89</v>
      </c>
      <c r="I83" s="54">
        <f>$C$75*2</f>
        <v>1.5210513692082186</v>
      </c>
      <c r="J83" s="2" t="s">
        <v>84</v>
      </c>
      <c r="L83" s="60"/>
    </row>
    <row r="84" spans="1:23" s="33" customFormat="1" x14ac:dyDescent="0.2">
      <c r="A84" s="57" t="s">
        <v>207</v>
      </c>
      <c r="B84" s="20"/>
      <c r="C84" s="19"/>
      <c r="D84" s="19"/>
      <c r="E84" s="80"/>
      <c r="F84" s="19"/>
      <c r="G84" s="19"/>
      <c r="H84" s="58"/>
      <c r="L84" s="34"/>
      <c r="M84" s="34"/>
      <c r="N84" s="34"/>
      <c r="O84" s="34"/>
      <c r="P84" s="34"/>
      <c r="Q84" s="34"/>
      <c r="R84" s="34"/>
      <c r="S84" s="34"/>
      <c r="T84" s="34"/>
      <c r="U84" s="34"/>
      <c r="V84" s="34"/>
    </row>
    <row r="85" spans="1:23" s="33" customFormat="1" x14ac:dyDescent="0.2">
      <c r="A85" s="39"/>
      <c r="E85" s="83"/>
      <c r="H85" s="1"/>
      <c r="I85" s="2"/>
      <c r="J85" s="2"/>
      <c r="L85" s="34"/>
      <c r="M85" s="34"/>
      <c r="N85" s="34"/>
      <c r="O85" s="34"/>
      <c r="P85" s="34"/>
      <c r="Q85" s="34"/>
      <c r="R85" s="34"/>
      <c r="S85" s="34"/>
      <c r="T85" s="34"/>
      <c r="U85" s="34"/>
      <c r="V85" s="34"/>
    </row>
    <row r="86" spans="1:23" x14ac:dyDescent="0.2">
      <c r="A86" s="59" t="s">
        <v>93</v>
      </c>
      <c r="B86" s="33"/>
      <c r="C86" s="33"/>
      <c r="D86" s="33"/>
      <c r="E86" s="83"/>
      <c r="F86" s="33"/>
      <c r="G86" s="33"/>
      <c r="H86" s="55" t="s">
        <v>94</v>
      </c>
      <c r="I86" s="54">
        <f>$C$75*3</f>
        <v>2.2815770538123279</v>
      </c>
      <c r="J86" s="2" t="s">
        <v>84</v>
      </c>
      <c r="L86" s="60"/>
    </row>
    <row r="87" spans="1:23" s="33" customFormat="1" x14ac:dyDescent="0.2">
      <c r="A87" s="57" t="s">
        <v>208</v>
      </c>
      <c r="B87" s="20"/>
      <c r="C87" s="19"/>
      <c r="D87" s="19"/>
      <c r="E87" s="80"/>
      <c r="F87" s="19"/>
      <c r="G87" s="19"/>
      <c r="H87" s="58"/>
      <c r="L87" s="34"/>
      <c r="M87" s="34"/>
      <c r="N87" s="34"/>
      <c r="O87" s="34"/>
      <c r="P87" s="34"/>
      <c r="Q87" s="34"/>
      <c r="R87" s="34"/>
      <c r="S87" s="34"/>
      <c r="T87" s="34"/>
      <c r="U87" s="34"/>
      <c r="V87" s="34"/>
    </row>
    <row r="88" spans="1:23" s="33" customFormat="1" x14ac:dyDescent="0.2">
      <c r="A88" s="19"/>
      <c r="E88" s="83"/>
      <c r="H88" s="1"/>
      <c r="I88" s="2"/>
      <c r="J88" s="2"/>
      <c r="L88" s="34"/>
      <c r="M88" s="34"/>
      <c r="N88" s="34"/>
      <c r="O88" s="34"/>
      <c r="P88" s="34"/>
      <c r="Q88" s="34"/>
      <c r="R88" s="34"/>
      <c r="S88" s="34"/>
      <c r="T88" s="34"/>
      <c r="U88" s="34"/>
      <c r="V88" s="34"/>
    </row>
    <row r="89" spans="1:23" s="5" customFormat="1" x14ac:dyDescent="0.2">
      <c r="A89" s="59" t="s">
        <v>96</v>
      </c>
      <c r="B89" s="33"/>
      <c r="C89" s="33"/>
      <c r="D89" s="33"/>
      <c r="E89" s="83"/>
      <c r="F89" s="33"/>
      <c r="G89" s="33"/>
      <c r="H89" s="55" t="s">
        <v>97</v>
      </c>
      <c r="I89" s="54">
        <f>$C$75*4</f>
        <v>3.0421027384164372</v>
      </c>
      <c r="J89" s="2" t="s">
        <v>84</v>
      </c>
      <c r="K89" s="2"/>
      <c r="L89" s="60"/>
      <c r="W89" s="2"/>
    </row>
    <row r="90" spans="1:23" s="5" customFormat="1" x14ac:dyDescent="0.2">
      <c r="A90" s="57" t="s">
        <v>209</v>
      </c>
      <c r="B90" s="20"/>
      <c r="C90" s="39"/>
      <c r="D90" s="19"/>
      <c r="E90" s="80"/>
      <c r="F90" s="19"/>
      <c r="G90" s="19"/>
      <c r="H90" s="55"/>
      <c r="I90" s="61"/>
      <c r="J90" s="2"/>
      <c r="K90" s="2"/>
      <c r="L90" s="60"/>
      <c r="W90" s="2"/>
    </row>
    <row r="91" spans="1:23" s="5" customFormat="1" x14ac:dyDescent="0.2">
      <c r="A91" s="57"/>
      <c r="B91" s="20"/>
      <c r="C91" s="39"/>
      <c r="D91" s="19"/>
      <c r="E91" s="80"/>
      <c r="F91" s="19"/>
      <c r="G91" s="19"/>
      <c r="H91" s="55"/>
      <c r="I91" s="61"/>
      <c r="J91" s="2"/>
      <c r="K91" s="2"/>
      <c r="L91" s="60"/>
      <c r="W91" s="2"/>
    </row>
    <row r="92" spans="1:23" s="5" customFormat="1" x14ac:dyDescent="0.2">
      <c r="A92" s="43" t="s">
        <v>210</v>
      </c>
      <c r="B92" s="33"/>
      <c r="C92" s="33"/>
      <c r="D92" s="33"/>
      <c r="E92" s="83"/>
      <c r="F92" s="33"/>
      <c r="G92" s="33"/>
      <c r="H92" s="55"/>
      <c r="I92" s="61"/>
      <c r="J92" s="2"/>
      <c r="K92" s="2"/>
      <c r="L92" s="60"/>
      <c r="W92" s="2"/>
    </row>
    <row r="93" spans="1:23" s="5" customFormat="1" x14ac:dyDescent="0.2">
      <c r="A93" s="62" t="s">
        <v>211</v>
      </c>
      <c r="B93" s="33"/>
      <c r="C93" s="33"/>
      <c r="D93" s="33"/>
      <c r="E93" s="83"/>
      <c r="F93" s="33"/>
      <c r="G93" s="33"/>
      <c r="H93" s="55"/>
      <c r="I93" s="61"/>
      <c r="J93" s="2"/>
      <c r="K93" s="2"/>
      <c r="L93" s="60"/>
      <c r="W93" s="2"/>
    </row>
    <row r="94" spans="1:23" s="5" customFormat="1" x14ac:dyDescent="0.2">
      <c r="A94" s="19" t="s">
        <v>102</v>
      </c>
      <c r="B94" s="33"/>
      <c r="C94" s="33"/>
      <c r="D94" s="33"/>
      <c r="E94" s="83"/>
      <c r="F94" s="33"/>
      <c r="G94" s="33"/>
      <c r="H94" s="55"/>
      <c r="I94" s="61"/>
      <c r="J94" s="2"/>
      <c r="K94" s="2"/>
      <c r="L94" s="60"/>
      <c r="W94" s="2"/>
    </row>
    <row r="95" spans="1:23" s="5" customFormat="1" x14ac:dyDescent="0.2">
      <c r="A95" s="19" t="s">
        <v>103</v>
      </c>
      <c r="B95" s="33"/>
      <c r="C95" s="33"/>
      <c r="D95" s="33"/>
      <c r="E95" s="83"/>
      <c r="F95" s="33"/>
      <c r="G95" s="33"/>
      <c r="H95" s="55"/>
      <c r="I95" s="61"/>
      <c r="J95" s="2"/>
      <c r="K95" s="2"/>
      <c r="L95" s="60"/>
      <c r="W95" s="2"/>
    </row>
    <row r="96" spans="1:23" s="5" customFormat="1" x14ac:dyDescent="0.2">
      <c r="A96" s="19" t="s">
        <v>104</v>
      </c>
      <c r="B96" s="33"/>
      <c r="C96" s="33"/>
      <c r="D96" s="33"/>
      <c r="E96" s="83"/>
      <c r="F96" s="33"/>
      <c r="G96" s="33"/>
      <c r="H96" s="55"/>
      <c r="I96" s="61"/>
      <c r="J96" s="2"/>
      <c r="K96" s="2"/>
      <c r="L96" s="60"/>
      <c r="W96" s="2"/>
    </row>
    <row r="97" spans="1:23" s="5" customFormat="1" x14ac:dyDescent="0.2">
      <c r="A97" s="19" t="s">
        <v>216</v>
      </c>
      <c r="B97" s="33"/>
      <c r="C97" s="33"/>
      <c r="D97" s="33"/>
      <c r="E97" s="83"/>
      <c r="F97" s="33"/>
      <c r="G97" s="33"/>
      <c r="H97" s="55"/>
      <c r="I97" s="61"/>
      <c r="J97" s="2"/>
      <c r="K97" s="2"/>
      <c r="L97" s="60"/>
      <c r="W97" s="2"/>
    </row>
    <row r="98" spans="1:23" s="5" customFormat="1" ht="13.5" customHeight="1" x14ac:dyDescent="0.2">
      <c r="A98" s="19"/>
      <c r="B98" s="33"/>
      <c r="C98" s="33"/>
      <c r="D98" s="33"/>
      <c r="E98" s="83"/>
      <c r="F98" s="33"/>
      <c r="G98" s="33"/>
      <c r="H98" s="55"/>
      <c r="I98" s="61"/>
      <c r="J98" s="2"/>
      <c r="K98" s="2"/>
      <c r="L98" s="60"/>
    </row>
    <row r="99" spans="1:23" s="5" customFormat="1" ht="13.5" customHeight="1" x14ac:dyDescent="0.2">
      <c r="A99" s="59" t="s">
        <v>106</v>
      </c>
      <c r="B99" s="33"/>
      <c r="C99" s="33"/>
      <c r="D99" s="33"/>
      <c r="E99" s="83"/>
      <c r="F99" s="33"/>
      <c r="G99" s="33"/>
      <c r="H99" s="55" t="s">
        <v>107</v>
      </c>
      <c r="I99" s="54">
        <f>$C$75*5</f>
        <v>3.8026284230205465</v>
      </c>
      <c r="J99" s="2" t="s">
        <v>84</v>
      </c>
      <c r="K99" s="2"/>
      <c r="L99" s="60"/>
    </row>
    <row r="100" spans="1:23" s="5" customFormat="1" ht="13.5" customHeight="1" x14ac:dyDescent="0.2">
      <c r="A100" s="57" t="s">
        <v>212</v>
      </c>
      <c r="B100" s="33"/>
      <c r="C100" s="33"/>
      <c r="D100" s="33"/>
      <c r="E100" s="83"/>
      <c r="F100" s="33"/>
      <c r="G100" s="33"/>
      <c r="H100" s="55"/>
      <c r="I100" s="61"/>
      <c r="J100" s="2"/>
      <c r="K100" s="2"/>
      <c r="L100" s="60"/>
    </row>
    <row r="101" spans="1:23" s="5" customFormat="1" ht="12.75" customHeight="1" x14ac:dyDescent="0.2">
      <c r="A101" s="19"/>
      <c r="B101" s="33"/>
      <c r="C101" s="33"/>
      <c r="D101" s="33"/>
      <c r="E101" s="83"/>
      <c r="F101" s="33"/>
      <c r="G101" s="33"/>
      <c r="H101" s="55"/>
      <c r="I101" s="61"/>
      <c r="J101" s="2"/>
      <c r="K101" s="2"/>
      <c r="L101" s="60"/>
    </row>
    <row r="102" spans="1:23" s="5" customFormat="1" x14ac:dyDescent="0.2">
      <c r="A102" s="59" t="s">
        <v>109</v>
      </c>
      <c r="B102" s="33"/>
      <c r="C102" s="33"/>
      <c r="D102" s="33"/>
      <c r="E102" s="83"/>
      <c r="F102" s="33"/>
      <c r="G102" s="33"/>
      <c r="H102" s="55" t="s">
        <v>110</v>
      </c>
      <c r="I102" s="54">
        <f>$C$75*6</f>
        <v>4.5631541076246558</v>
      </c>
      <c r="J102" s="2" t="s">
        <v>84</v>
      </c>
      <c r="K102" s="2"/>
      <c r="L102" s="60"/>
    </row>
    <row r="103" spans="1:23" s="5" customFormat="1" x14ac:dyDescent="0.2">
      <c r="A103" s="57" t="s">
        <v>213</v>
      </c>
      <c r="B103" s="33"/>
      <c r="C103" s="33"/>
      <c r="D103" s="33"/>
      <c r="E103" s="83"/>
      <c r="F103" s="33"/>
      <c r="G103" s="33"/>
      <c r="H103" s="55" t="s">
        <v>112</v>
      </c>
      <c r="I103" s="61"/>
      <c r="J103" s="2"/>
      <c r="K103" s="2"/>
      <c r="L103" s="60"/>
    </row>
    <row r="104" spans="1:23" s="5" customFormat="1" x14ac:dyDescent="0.2">
      <c r="A104" s="19"/>
      <c r="B104" s="33"/>
      <c r="C104" s="33"/>
      <c r="D104" s="33"/>
      <c r="E104" s="83"/>
      <c r="F104" s="33"/>
      <c r="G104" s="33"/>
      <c r="H104" s="55"/>
      <c r="I104" s="61"/>
      <c r="J104" s="2"/>
      <c r="K104" s="2"/>
      <c r="L104" s="60"/>
    </row>
    <row r="105" spans="1:23" s="5" customFormat="1" x14ac:dyDescent="0.2">
      <c r="A105" s="59" t="s">
        <v>113</v>
      </c>
      <c r="B105" s="33"/>
      <c r="C105" s="33"/>
      <c r="D105" s="33"/>
      <c r="E105" s="83"/>
      <c r="F105" s="33"/>
      <c r="G105" s="33"/>
      <c r="H105" s="55" t="s">
        <v>114</v>
      </c>
      <c r="I105" s="54">
        <f>$C$75*7</f>
        <v>5.3236797922287646</v>
      </c>
      <c r="J105" s="2" t="s">
        <v>84</v>
      </c>
      <c r="K105" s="2"/>
      <c r="L105" s="60"/>
    </row>
    <row r="106" spans="1:23" s="5" customFormat="1" x14ac:dyDescent="0.2">
      <c r="A106" s="57" t="s">
        <v>235</v>
      </c>
      <c r="B106" s="33"/>
      <c r="C106" s="33"/>
      <c r="D106" s="33"/>
      <c r="E106" s="83"/>
      <c r="F106" s="33"/>
      <c r="G106" s="33"/>
      <c r="K106" s="2"/>
      <c r="L106" s="60"/>
    </row>
    <row r="107" spans="1:23" s="5" customFormat="1" x14ac:dyDescent="0.2">
      <c r="A107" s="19"/>
      <c r="B107" s="33"/>
      <c r="C107" s="33"/>
      <c r="D107" s="33"/>
      <c r="E107" s="83"/>
      <c r="F107" s="33"/>
      <c r="G107" s="33"/>
      <c r="K107" s="2"/>
      <c r="L107" s="60"/>
    </row>
    <row r="108" spans="1:23" s="5" customFormat="1" x14ac:dyDescent="0.2">
      <c r="A108" s="19"/>
      <c r="B108" s="33"/>
      <c r="C108" s="33"/>
      <c r="D108" s="33"/>
      <c r="E108" s="83"/>
      <c r="F108" s="33"/>
      <c r="G108" s="33"/>
      <c r="K108" s="2"/>
      <c r="L108" s="60"/>
    </row>
    <row r="109" spans="1:23" s="5" customFormat="1" x14ac:dyDescent="0.2">
      <c r="A109" s="19"/>
      <c r="B109" s="33"/>
      <c r="C109" s="33"/>
      <c r="D109" s="33"/>
      <c r="E109" s="83"/>
      <c r="F109" s="33"/>
      <c r="G109" s="33"/>
      <c r="K109" s="2"/>
      <c r="L109" s="60"/>
    </row>
    <row r="110" spans="1:23" s="5" customFormat="1" x14ac:dyDescent="0.2">
      <c r="A110" s="19"/>
      <c r="B110" s="33"/>
      <c r="C110" s="33"/>
      <c r="D110" s="33"/>
      <c r="E110" s="83"/>
      <c r="F110" s="33"/>
      <c r="G110" s="33"/>
      <c r="H110" s="37"/>
      <c r="I110" s="61"/>
      <c r="J110" s="2"/>
      <c r="K110" s="2"/>
      <c r="L110" s="60"/>
    </row>
    <row r="111" spans="1:23" s="5" customFormat="1" x14ac:dyDescent="0.2">
      <c r="A111" s="19"/>
      <c r="B111" s="20"/>
      <c r="C111" s="39" t="s">
        <v>116</v>
      </c>
      <c r="D111" s="19"/>
      <c r="E111" s="80"/>
      <c r="F111" s="19"/>
      <c r="G111" s="19" t="s">
        <v>117</v>
      </c>
      <c r="H111" s="37"/>
      <c r="I111" s="37"/>
      <c r="J111" s="37"/>
      <c r="K111" s="2"/>
    </row>
    <row r="112" spans="1:23" s="5" customFormat="1" x14ac:dyDescent="0.2">
      <c r="A112" s="19"/>
      <c r="B112" s="20"/>
      <c r="C112" s="39" t="s">
        <v>118</v>
      </c>
      <c r="D112" s="19"/>
      <c r="E112" s="80"/>
      <c r="F112" s="19"/>
      <c r="G112" s="19" t="s">
        <v>119</v>
      </c>
      <c r="H112" s="37"/>
      <c r="I112" s="37"/>
      <c r="J112" s="37"/>
      <c r="K112" s="2"/>
    </row>
    <row r="113" spans="1:11" s="5" customFormat="1" x14ac:dyDescent="0.2">
      <c r="A113" s="19"/>
      <c r="B113" s="20"/>
      <c r="C113" s="39" t="s">
        <v>120</v>
      </c>
      <c r="D113" s="19"/>
      <c r="E113" s="80"/>
      <c r="F113" s="19"/>
      <c r="G113" s="19" t="s">
        <v>121</v>
      </c>
      <c r="H113" s="37"/>
      <c r="I113" s="37"/>
      <c r="J113" s="37"/>
      <c r="K113" s="2"/>
    </row>
    <row r="114" spans="1:11" s="5" customFormat="1" x14ac:dyDescent="0.2">
      <c r="A114" s="19"/>
      <c r="B114" s="20"/>
      <c r="C114" s="39" t="s">
        <v>122</v>
      </c>
      <c r="D114" s="19"/>
      <c r="E114" s="80"/>
      <c r="F114" s="19"/>
      <c r="G114" s="19" t="s">
        <v>123</v>
      </c>
      <c r="H114" s="37"/>
      <c r="I114" s="37"/>
      <c r="J114" s="37"/>
      <c r="K114" s="2"/>
    </row>
    <row r="115" spans="1:11" s="5" customFormat="1" x14ac:dyDescent="0.2">
      <c r="A115" s="39"/>
      <c r="B115" s="20"/>
      <c r="C115" s="39" t="s">
        <v>124</v>
      </c>
      <c r="D115" s="19"/>
      <c r="E115" s="80"/>
      <c r="F115" s="19"/>
      <c r="G115" s="19" t="s">
        <v>125</v>
      </c>
      <c r="H115" s="37"/>
      <c r="I115" s="37"/>
      <c r="J115" s="37"/>
      <c r="K115" s="2"/>
    </row>
    <row r="116" spans="1:11" s="5" customFormat="1" x14ac:dyDescent="0.2">
      <c r="A116" s="39"/>
      <c r="B116" s="20"/>
      <c r="C116" s="39" t="s">
        <v>126</v>
      </c>
      <c r="D116" s="19"/>
      <c r="E116" s="80"/>
      <c r="F116" s="19"/>
      <c r="G116" s="19" t="s">
        <v>127</v>
      </c>
      <c r="H116" s="37"/>
      <c r="I116" s="37"/>
      <c r="J116" s="37"/>
      <c r="K116" s="2"/>
    </row>
    <row r="117" spans="1:11" s="5" customFormat="1" x14ac:dyDescent="0.2">
      <c r="A117" s="39"/>
      <c r="B117" s="20"/>
      <c r="C117" s="19" t="s">
        <v>128</v>
      </c>
      <c r="D117" s="19"/>
      <c r="E117" s="80"/>
      <c r="F117" s="19"/>
      <c r="G117" s="19" t="s">
        <v>129</v>
      </c>
      <c r="H117" s="37"/>
      <c r="I117" s="37"/>
      <c r="J117" s="37"/>
      <c r="K117" s="2"/>
    </row>
    <row r="118" spans="1:11" s="5" customFormat="1" x14ac:dyDescent="0.2">
      <c r="A118" s="39"/>
      <c r="B118" s="20"/>
      <c r="C118" s="19" t="s">
        <v>130</v>
      </c>
      <c r="D118" s="19"/>
      <c r="E118" s="80"/>
      <c r="F118" s="19"/>
      <c r="G118" s="19" t="s">
        <v>131</v>
      </c>
      <c r="H118" s="37"/>
      <c r="I118" s="37"/>
      <c r="J118" s="37"/>
      <c r="K118" s="2"/>
    </row>
    <row r="119" spans="1:11" s="5" customFormat="1" x14ac:dyDescent="0.2">
      <c r="A119" s="39"/>
      <c r="B119" s="20"/>
      <c r="C119" s="19"/>
      <c r="D119" s="19"/>
      <c r="E119" s="80"/>
      <c r="F119" s="19"/>
      <c r="G119" s="19"/>
      <c r="H119" s="37"/>
      <c r="I119" s="37"/>
      <c r="J119" s="37"/>
      <c r="K119" s="2"/>
    </row>
    <row r="120" spans="1:11" s="5" customFormat="1" x14ac:dyDescent="0.2">
      <c r="A120" s="39"/>
      <c r="B120" s="20"/>
      <c r="C120" s="19" t="s">
        <v>132</v>
      </c>
      <c r="D120" s="19"/>
      <c r="E120" s="80"/>
      <c r="F120" s="19"/>
      <c r="G120" s="19" t="s">
        <v>133</v>
      </c>
      <c r="H120" s="37"/>
      <c r="I120" s="37"/>
      <c r="J120" s="37"/>
      <c r="K120" s="2"/>
    </row>
    <row r="121" spans="1:11" s="5" customFormat="1" x14ac:dyDescent="0.2">
      <c r="A121" s="39"/>
      <c r="B121" s="20"/>
      <c r="C121" s="19" t="s">
        <v>134</v>
      </c>
      <c r="D121" s="19"/>
      <c r="E121" s="80"/>
      <c r="F121" s="19"/>
      <c r="G121" s="19" t="s">
        <v>135</v>
      </c>
      <c r="H121" s="37"/>
      <c r="I121" s="37"/>
      <c r="J121" s="37"/>
      <c r="K121" s="2"/>
    </row>
    <row r="122" spans="1:11" s="5" customFormat="1" x14ac:dyDescent="0.2">
      <c r="A122" s="39"/>
      <c r="B122" s="20"/>
      <c r="C122" s="19" t="s">
        <v>136</v>
      </c>
      <c r="D122" s="19"/>
      <c r="E122" s="80"/>
      <c r="F122" s="19"/>
      <c r="G122" s="19" t="s">
        <v>137</v>
      </c>
      <c r="H122" s="37"/>
      <c r="I122" s="37"/>
      <c r="J122" s="37"/>
      <c r="K122" s="2"/>
    </row>
    <row r="123" spans="1:11" s="5" customFormat="1" x14ac:dyDescent="0.2">
      <c r="A123" s="39"/>
      <c r="B123" s="20"/>
      <c r="C123" s="19"/>
      <c r="D123" s="19"/>
      <c r="E123" s="80"/>
      <c r="F123" s="19"/>
      <c r="G123" s="19" t="s">
        <v>138</v>
      </c>
      <c r="H123" s="37"/>
      <c r="I123" s="37"/>
      <c r="J123" s="37"/>
      <c r="K123" s="2"/>
    </row>
    <row r="124" spans="1:11" s="5" customFormat="1" x14ac:dyDescent="0.2">
      <c r="A124" s="39"/>
      <c r="B124" s="20"/>
      <c r="C124" s="19"/>
      <c r="D124" s="19"/>
      <c r="E124" s="80"/>
      <c r="F124" s="19"/>
      <c r="G124" s="19"/>
      <c r="H124" s="37"/>
      <c r="I124" s="37"/>
      <c r="J124" s="37"/>
      <c r="K124" s="2"/>
    </row>
    <row r="125" spans="1:11" s="5" customFormat="1" x14ac:dyDescent="0.2">
      <c r="A125" s="39"/>
      <c r="B125" s="20"/>
      <c r="C125" s="19"/>
      <c r="D125" s="19"/>
      <c r="E125" s="80"/>
      <c r="F125" s="19"/>
      <c r="G125" s="19"/>
      <c r="H125" s="37"/>
      <c r="I125" s="37"/>
      <c r="J125" s="37"/>
      <c r="K125" s="2"/>
    </row>
    <row r="126" spans="1:11" s="5" customFormat="1" x14ac:dyDescent="0.2">
      <c r="A126" s="39"/>
      <c r="B126" s="20"/>
      <c r="C126" s="41" t="s">
        <v>139</v>
      </c>
      <c r="D126" s="41"/>
      <c r="E126" s="85"/>
      <c r="F126" s="41"/>
      <c r="G126" s="41"/>
      <c r="H126" s="63"/>
      <c r="I126" s="63"/>
      <c r="J126" s="63"/>
      <c r="K126" s="2"/>
    </row>
    <row r="127" spans="1:11" s="5" customFormat="1" x14ac:dyDescent="0.2">
      <c r="A127" s="39"/>
      <c r="B127" s="20"/>
      <c r="C127" s="41" t="s">
        <v>140</v>
      </c>
      <c r="D127" s="41"/>
      <c r="E127" s="85"/>
      <c r="F127" s="41"/>
      <c r="G127" s="41"/>
      <c r="H127" s="63"/>
      <c r="I127" s="63"/>
      <c r="J127" s="63"/>
      <c r="K127" s="2"/>
    </row>
    <row r="128" spans="1:11" s="5" customFormat="1" x14ac:dyDescent="0.2">
      <c r="A128" s="39"/>
      <c r="B128" s="20"/>
      <c r="C128" s="41" t="s">
        <v>141</v>
      </c>
      <c r="D128" s="41"/>
      <c r="E128" s="85"/>
      <c r="F128" s="41"/>
      <c r="G128" s="41"/>
      <c r="H128" s="63"/>
      <c r="I128" s="63"/>
      <c r="J128" s="63"/>
      <c r="K128" s="2"/>
    </row>
    <row r="129" spans="1:22" s="5" customFormat="1" x14ac:dyDescent="0.2">
      <c r="A129" s="39"/>
      <c r="B129" s="20"/>
      <c r="C129" s="41" t="s">
        <v>142</v>
      </c>
      <c r="D129" s="41"/>
      <c r="E129" s="85"/>
      <c r="F129" s="41"/>
      <c r="G129" s="41"/>
      <c r="H129" s="63"/>
      <c r="I129" s="63"/>
      <c r="J129" s="63"/>
      <c r="K129" s="2"/>
    </row>
    <row r="130" spans="1:22" s="5" customFormat="1" x14ac:dyDescent="0.2">
      <c r="A130" s="39"/>
      <c r="B130" s="20"/>
      <c r="C130" s="41" t="s">
        <v>143</v>
      </c>
      <c r="D130" s="41"/>
      <c r="E130" s="85"/>
      <c r="F130" s="41"/>
      <c r="G130" s="41"/>
      <c r="H130" s="63"/>
      <c r="I130" s="63"/>
      <c r="J130" s="63"/>
      <c r="K130" s="2"/>
    </row>
    <row r="131" spans="1:22" s="5" customFormat="1" x14ac:dyDescent="0.2">
      <c r="A131" s="39"/>
      <c r="B131" s="20"/>
      <c r="C131" s="41" t="s">
        <v>144</v>
      </c>
      <c r="D131" s="41"/>
      <c r="E131" s="85"/>
      <c r="F131" s="41"/>
      <c r="G131" s="41"/>
      <c r="H131" s="63"/>
      <c r="I131" s="63"/>
      <c r="J131" s="63"/>
      <c r="K131" s="2"/>
    </row>
    <row r="132" spans="1:22" s="5" customFormat="1" ht="13.5" customHeight="1" x14ac:dyDescent="0.2">
      <c r="A132" s="2"/>
      <c r="B132" s="2"/>
      <c r="C132" s="41" t="s">
        <v>145</v>
      </c>
      <c r="D132" s="41"/>
      <c r="E132" s="85"/>
      <c r="F132" s="41"/>
      <c r="G132" s="41"/>
      <c r="H132" s="63"/>
      <c r="I132" s="63"/>
      <c r="J132" s="63"/>
      <c r="K132" s="2"/>
    </row>
    <row r="133" spans="1:22" s="5" customFormat="1" x14ac:dyDescent="0.2">
      <c r="A133" s="2"/>
      <c r="B133" s="2"/>
      <c r="C133" s="41" t="s">
        <v>146</v>
      </c>
      <c r="D133" s="19"/>
      <c r="E133" s="80"/>
      <c r="F133" s="19"/>
      <c r="G133" s="19"/>
      <c r="H133" s="37"/>
      <c r="I133" s="37"/>
      <c r="J133" s="37"/>
      <c r="K133" s="2"/>
    </row>
    <row r="134" spans="1:22" s="5" customFormat="1" x14ac:dyDescent="0.2">
      <c r="A134" s="2"/>
      <c r="B134" s="2"/>
      <c r="C134" s="41"/>
      <c r="D134" s="19"/>
      <c r="E134" s="80"/>
      <c r="F134" s="19"/>
      <c r="G134" s="19"/>
      <c r="H134" s="37"/>
      <c r="I134" s="37"/>
      <c r="J134" s="37"/>
      <c r="K134" s="2"/>
    </row>
    <row r="135" spans="1:22" s="5" customFormat="1" x14ac:dyDescent="0.2">
      <c r="A135" s="2"/>
      <c r="B135" s="64"/>
      <c r="C135" s="64"/>
      <c r="D135" s="64"/>
      <c r="E135" s="86"/>
      <c r="F135" s="64"/>
      <c r="G135" s="64"/>
      <c r="H135" s="64"/>
      <c r="I135" s="64"/>
      <c r="J135" s="64"/>
      <c r="K135" s="64"/>
    </row>
    <row r="137" spans="1:22" x14ac:dyDescent="0.2">
      <c r="C137" s="41"/>
      <c r="D137" s="19"/>
      <c r="E137" s="80"/>
      <c r="F137" s="19"/>
      <c r="G137" s="19"/>
      <c r="H137" s="37"/>
      <c r="I137" s="37"/>
      <c r="J137" s="37"/>
    </row>
    <row r="138" spans="1:22" x14ac:dyDescent="0.2">
      <c r="A138" s="43" t="s">
        <v>147</v>
      </c>
      <c r="B138" s="33"/>
      <c r="C138" s="33"/>
      <c r="D138" s="33"/>
      <c r="E138" s="83"/>
      <c r="F138" s="33"/>
      <c r="G138" s="33"/>
      <c r="H138" s="33"/>
      <c r="I138" s="33"/>
      <c r="J138" s="33"/>
    </row>
    <row r="139" spans="1:22" s="33" customFormat="1" x14ac:dyDescent="0.2">
      <c r="A139" s="19" t="s">
        <v>228</v>
      </c>
      <c r="B139" s="20"/>
      <c r="C139" s="19"/>
      <c r="D139" s="19"/>
      <c r="E139" s="80"/>
      <c r="F139" s="19"/>
      <c r="G139" s="19"/>
      <c r="H139" s="2"/>
      <c r="I139" s="54">
        <f>'10 14 2018'!I137*1.025</f>
        <v>0.98333516302856383</v>
      </c>
      <c r="J139" s="33" t="s">
        <v>149</v>
      </c>
      <c r="L139" s="45"/>
      <c r="M139" s="34"/>
      <c r="N139" s="34"/>
      <c r="O139" s="34"/>
      <c r="P139" s="34"/>
      <c r="Q139" s="34"/>
      <c r="R139" s="34"/>
      <c r="S139" s="34"/>
      <c r="T139" s="34"/>
      <c r="U139" s="34"/>
      <c r="V139" s="34"/>
    </row>
    <row r="140" spans="1:22" x14ac:dyDescent="0.2">
      <c r="A140" s="19" t="s">
        <v>150</v>
      </c>
      <c r="B140" s="20"/>
      <c r="C140" s="19"/>
      <c r="D140" s="19"/>
      <c r="E140" s="80"/>
      <c r="F140" s="19"/>
      <c r="G140" s="19"/>
      <c r="I140" s="54">
        <f>'10 14 2018'!I138*1.025</f>
        <v>0.98333516302856383</v>
      </c>
      <c r="J140" s="33" t="s">
        <v>151</v>
      </c>
    </row>
    <row r="141" spans="1:22" x14ac:dyDescent="0.2">
      <c r="A141" s="19" t="s">
        <v>152</v>
      </c>
      <c r="B141" s="33"/>
      <c r="C141" s="33"/>
      <c r="D141" s="33"/>
      <c r="E141" s="83"/>
      <c r="F141" s="33"/>
      <c r="G141" s="33"/>
      <c r="H141" s="33"/>
      <c r="I141" s="33"/>
      <c r="J141" s="33"/>
    </row>
    <row r="142" spans="1:22" s="33" customFormat="1" ht="6.75" customHeight="1" x14ac:dyDescent="0.2">
      <c r="A142" s="39"/>
      <c r="E142" s="83"/>
      <c r="L142" s="45"/>
      <c r="M142" s="34"/>
      <c r="N142" s="34"/>
      <c r="O142" s="34"/>
      <c r="P142" s="34"/>
      <c r="Q142" s="34"/>
      <c r="R142" s="34"/>
      <c r="S142" s="34"/>
      <c r="T142" s="34"/>
      <c r="U142" s="34"/>
      <c r="V142" s="34"/>
    </row>
    <row r="143" spans="1:22" s="33" customFormat="1" x14ac:dyDescent="0.2">
      <c r="A143" s="43" t="s">
        <v>153</v>
      </c>
      <c r="B143" s="20"/>
      <c r="C143" s="19"/>
      <c r="D143" s="19"/>
      <c r="E143" s="80"/>
      <c r="F143" s="19"/>
      <c r="G143" s="19"/>
      <c r="H143" s="37"/>
      <c r="I143" s="37"/>
      <c r="J143" s="37"/>
      <c r="L143" s="45"/>
      <c r="M143" s="34"/>
      <c r="N143" s="34"/>
      <c r="O143" s="34"/>
      <c r="P143" s="34"/>
      <c r="Q143" s="34"/>
      <c r="R143" s="34"/>
      <c r="S143" s="34"/>
      <c r="T143" s="34"/>
      <c r="U143" s="34"/>
      <c r="V143" s="34"/>
    </row>
    <row r="144" spans="1:22" x14ac:dyDescent="0.2">
      <c r="A144" s="33" t="s">
        <v>154</v>
      </c>
      <c r="B144" s="20"/>
      <c r="C144" s="19"/>
      <c r="D144" s="19"/>
      <c r="E144" s="80"/>
      <c r="F144" s="19"/>
      <c r="G144" s="19"/>
      <c r="H144" s="37"/>
      <c r="I144" s="37"/>
      <c r="J144" s="37"/>
    </row>
    <row r="145" spans="1:22" x14ac:dyDescent="0.2">
      <c r="A145" s="52">
        <f>'10 14 2018'!A143*1.025</f>
        <v>0.47301568014195622</v>
      </c>
      <c r="B145" s="66" t="s">
        <v>155</v>
      </c>
      <c r="C145" s="33"/>
      <c r="D145" s="33"/>
      <c r="E145" s="83"/>
      <c r="F145" s="33"/>
      <c r="G145" s="33"/>
      <c r="H145" s="33"/>
      <c r="I145" s="33"/>
      <c r="J145" s="37"/>
    </row>
    <row r="146" spans="1:22" x14ac:dyDescent="0.2">
      <c r="A146" s="67" t="s">
        <v>156</v>
      </c>
      <c r="B146" s="33"/>
      <c r="C146" s="33"/>
      <c r="D146" s="33"/>
      <c r="E146" s="83"/>
      <c r="F146" s="33"/>
      <c r="G146" s="33"/>
      <c r="H146" s="33"/>
      <c r="I146" s="33"/>
      <c r="J146" s="33"/>
    </row>
    <row r="147" spans="1:22" s="33" customFormat="1" x14ac:dyDescent="0.2">
      <c r="A147" s="67" t="s">
        <v>157</v>
      </c>
      <c r="E147" s="83"/>
      <c r="L147" s="34"/>
      <c r="M147" s="34"/>
      <c r="N147" s="34"/>
      <c r="O147" s="34"/>
      <c r="P147" s="34"/>
      <c r="Q147" s="34"/>
      <c r="R147" s="34"/>
      <c r="S147" s="34"/>
      <c r="T147" s="34"/>
      <c r="U147" s="34"/>
      <c r="V147" s="34"/>
    </row>
    <row r="148" spans="1:22" s="33" customFormat="1" x14ac:dyDescent="0.2">
      <c r="A148" s="39"/>
      <c r="B148" s="66"/>
      <c r="C148" s="66"/>
      <c r="E148" s="83"/>
      <c r="L148" s="45"/>
      <c r="M148" s="34"/>
      <c r="N148" s="34"/>
      <c r="O148" s="34"/>
      <c r="P148" s="34"/>
      <c r="Q148" s="34"/>
      <c r="R148" s="34"/>
      <c r="S148" s="34"/>
      <c r="T148" s="34"/>
      <c r="U148" s="34"/>
      <c r="V148" s="34"/>
    </row>
    <row r="149" spans="1:22" s="33" customFormat="1" x14ac:dyDescent="0.2">
      <c r="A149" s="56" t="s">
        <v>158</v>
      </c>
      <c r="E149" s="83"/>
      <c r="L149" s="34"/>
      <c r="M149" s="34"/>
      <c r="N149" s="34"/>
      <c r="O149" s="34"/>
      <c r="P149" s="34"/>
      <c r="Q149" s="34"/>
      <c r="R149" s="34"/>
      <c r="S149" s="34"/>
      <c r="T149" s="34"/>
      <c r="U149" s="34"/>
      <c r="V149" s="34"/>
    </row>
    <row r="150" spans="1:22" s="33" customFormat="1" x14ac:dyDescent="0.2">
      <c r="A150" s="33" t="s">
        <v>159</v>
      </c>
      <c r="B150" s="20"/>
      <c r="C150" s="68"/>
      <c r="D150" s="19"/>
      <c r="E150" s="80"/>
      <c r="F150" s="19"/>
      <c r="G150" s="19"/>
      <c r="I150" s="37"/>
      <c r="J150" s="37"/>
      <c r="L150" s="34"/>
      <c r="M150" s="34"/>
      <c r="N150" s="34"/>
      <c r="O150" s="34"/>
      <c r="P150" s="34"/>
      <c r="Q150" s="34"/>
      <c r="R150" s="34"/>
      <c r="S150" s="34"/>
      <c r="T150" s="34"/>
      <c r="U150" s="34"/>
      <c r="V150" s="34"/>
    </row>
    <row r="151" spans="1:22" x14ac:dyDescent="0.2">
      <c r="A151" s="33" t="s">
        <v>160</v>
      </c>
      <c r="B151" s="19"/>
      <c r="C151" s="19"/>
      <c r="D151" s="19"/>
      <c r="E151" s="80"/>
      <c r="F151" s="19"/>
      <c r="G151" s="19"/>
      <c r="H151" s="37"/>
      <c r="I151" s="37"/>
      <c r="J151" s="37"/>
    </row>
    <row r="152" spans="1:22" x14ac:dyDescent="0.2">
      <c r="A152" s="33" t="s">
        <v>161</v>
      </c>
      <c r="B152" s="69"/>
      <c r="C152" s="41"/>
      <c r="D152" s="41"/>
      <c r="E152" s="85"/>
      <c r="F152" s="41"/>
      <c r="G152" s="41"/>
      <c r="H152" s="63"/>
      <c r="I152" s="63"/>
      <c r="J152" s="63"/>
    </row>
    <row r="153" spans="1:22" x14ac:dyDescent="0.2">
      <c r="A153" s="33" t="s">
        <v>162</v>
      </c>
      <c r="B153" s="69"/>
      <c r="C153" s="41"/>
      <c r="D153" s="41"/>
      <c r="E153" s="85"/>
      <c r="F153" s="41"/>
      <c r="G153" s="41"/>
      <c r="H153" s="63"/>
      <c r="I153" s="63"/>
      <c r="J153" s="63"/>
    </row>
    <row r="154" spans="1:22" x14ac:dyDescent="0.2">
      <c r="A154" s="33" t="s">
        <v>163</v>
      </c>
      <c r="B154" s="69"/>
      <c r="C154" s="41"/>
      <c r="D154" s="41"/>
      <c r="E154" s="85"/>
      <c r="F154" s="41"/>
      <c r="G154" s="41"/>
      <c r="H154" s="63"/>
      <c r="I154" s="63"/>
      <c r="J154" s="63"/>
    </row>
    <row r="155" spans="1:22" x14ac:dyDescent="0.2">
      <c r="A155" s="33" t="s">
        <v>164</v>
      </c>
      <c r="B155" s="69"/>
      <c r="C155" s="41"/>
      <c r="D155" s="41"/>
      <c r="E155" s="85"/>
      <c r="F155" s="41"/>
      <c r="G155" s="41"/>
      <c r="H155" s="63"/>
      <c r="I155" s="63"/>
      <c r="J155" s="63"/>
    </row>
    <row r="156" spans="1:22" x14ac:dyDescent="0.2">
      <c r="A156" s="19" t="s">
        <v>165</v>
      </c>
      <c r="B156" s="69"/>
      <c r="C156" s="41"/>
      <c r="D156" s="41"/>
      <c r="E156" s="85"/>
      <c r="F156" s="41"/>
      <c r="G156" s="41"/>
      <c r="H156" s="63"/>
      <c r="I156" s="63"/>
      <c r="J156" s="63"/>
    </row>
    <row r="157" spans="1:22" x14ac:dyDescent="0.2">
      <c r="A157" s="19"/>
      <c r="B157" s="69"/>
      <c r="C157" s="41"/>
      <c r="D157" s="41"/>
      <c r="E157" s="85"/>
      <c r="F157" s="41"/>
      <c r="G157" s="41"/>
      <c r="H157" s="63"/>
      <c r="I157" s="63"/>
      <c r="J157" s="63"/>
    </row>
    <row r="158" spans="1:22" x14ac:dyDescent="0.2">
      <c r="A158" s="70" t="s">
        <v>166</v>
      </c>
      <c r="B158" s="69"/>
      <c r="C158" s="41"/>
      <c r="D158" s="41"/>
      <c r="E158" s="85"/>
      <c r="F158" s="41"/>
      <c r="G158" s="41"/>
      <c r="H158" s="63"/>
      <c r="I158" s="63"/>
      <c r="J158" s="63"/>
    </row>
    <row r="159" spans="1:22" x14ac:dyDescent="0.2">
      <c r="A159" s="39" t="s">
        <v>167</v>
      </c>
      <c r="B159" s="69"/>
      <c r="C159" s="41"/>
      <c r="D159" s="41"/>
      <c r="E159" s="85"/>
      <c r="F159" s="41"/>
      <c r="G159" s="41"/>
      <c r="H159" s="37"/>
      <c r="I159" s="37"/>
      <c r="J159" s="37"/>
    </row>
    <row r="160" spans="1:22" x14ac:dyDescent="0.2">
      <c r="A160" s="71"/>
      <c r="B160" s="20"/>
      <c r="C160" s="19"/>
      <c r="D160" s="19"/>
      <c r="E160" s="80"/>
      <c r="F160" s="19"/>
      <c r="G160" s="19"/>
      <c r="H160" s="37"/>
      <c r="I160" s="37"/>
      <c r="J160" s="37"/>
    </row>
    <row r="161" spans="1:22" x14ac:dyDescent="0.2">
      <c r="A161" s="70" t="s">
        <v>168</v>
      </c>
      <c r="B161" s="20"/>
      <c r="C161" s="19"/>
      <c r="D161" s="19"/>
      <c r="E161" s="80"/>
      <c r="F161" s="19"/>
      <c r="G161" s="19"/>
      <c r="H161" s="37"/>
      <c r="I161" s="37"/>
      <c r="J161" s="37"/>
    </row>
    <row r="162" spans="1:22" x14ac:dyDescent="0.2">
      <c r="A162" s="90" t="s">
        <v>218</v>
      </c>
      <c r="B162" s="20"/>
      <c r="C162" s="19"/>
      <c r="D162" s="19"/>
      <c r="E162" s="80"/>
      <c r="F162" s="19"/>
      <c r="G162" s="19"/>
      <c r="H162" s="37"/>
      <c r="I162" s="37"/>
      <c r="J162" s="37"/>
    </row>
    <row r="163" spans="1:22" x14ac:dyDescent="0.2">
      <c r="A163" s="90" t="s">
        <v>222</v>
      </c>
      <c r="B163" s="20"/>
      <c r="C163" s="19"/>
      <c r="D163" s="19"/>
      <c r="E163" s="80"/>
      <c r="F163" s="19"/>
      <c r="G163" s="19"/>
      <c r="H163" s="37"/>
      <c r="I163" s="37"/>
      <c r="J163" s="37"/>
    </row>
    <row r="164" spans="1:22" x14ac:dyDescent="0.2">
      <c r="A164" s="19" t="s">
        <v>220</v>
      </c>
      <c r="B164" s="20"/>
      <c r="C164" s="19"/>
      <c r="D164" s="19"/>
      <c r="E164" s="80"/>
      <c r="F164" s="19"/>
      <c r="G164" s="19"/>
      <c r="H164" s="37"/>
      <c r="I164" s="37"/>
      <c r="J164" s="37"/>
    </row>
    <row r="165" spans="1:22" x14ac:dyDescent="0.2">
      <c r="A165" s="19" t="s">
        <v>221</v>
      </c>
      <c r="B165" s="20"/>
      <c r="C165" s="19"/>
      <c r="D165" s="19"/>
      <c r="E165" s="80"/>
      <c r="F165" s="19"/>
      <c r="G165" s="19"/>
      <c r="H165" s="37"/>
      <c r="I165" s="37"/>
      <c r="J165" s="37"/>
    </row>
    <row r="166" spans="1:22" x14ac:dyDescent="0.2">
      <c r="A166" s="72"/>
      <c r="B166" s="33"/>
      <c r="C166" s="33"/>
      <c r="D166" s="33"/>
      <c r="E166" s="83"/>
      <c r="F166" s="33"/>
      <c r="G166" s="33"/>
      <c r="H166" s="33"/>
      <c r="I166" s="33"/>
      <c r="J166" s="33"/>
    </row>
    <row r="167" spans="1:22" x14ac:dyDescent="0.2">
      <c r="A167" s="70" t="s">
        <v>171</v>
      </c>
      <c r="B167" s="33"/>
      <c r="C167" s="33"/>
      <c r="D167" s="33"/>
      <c r="E167" s="83"/>
      <c r="F167" s="33"/>
      <c r="G167" s="33"/>
      <c r="H167" s="33"/>
      <c r="I167" s="33"/>
      <c r="J167" s="33"/>
    </row>
    <row r="168" spans="1:22" s="33" customFormat="1" x14ac:dyDescent="0.2">
      <c r="A168" s="57" t="s">
        <v>217</v>
      </c>
      <c r="E168" s="83"/>
      <c r="L168" s="34"/>
      <c r="M168" s="34"/>
      <c r="N168" s="34"/>
      <c r="O168" s="34"/>
      <c r="P168" s="34"/>
      <c r="Q168" s="34"/>
      <c r="R168" s="34"/>
      <c r="S168" s="34"/>
      <c r="T168" s="34"/>
      <c r="U168" s="34"/>
      <c r="V168" s="34"/>
    </row>
    <row r="169" spans="1:22" s="33" customFormat="1" x14ac:dyDescent="0.2">
      <c r="A169" s="72" t="s">
        <v>173</v>
      </c>
      <c r="B169" s="72"/>
      <c r="C169" s="72"/>
      <c r="D169" s="72"/>
      <c r="E169" s="87"/>
      <c r="F169" s="73"/>
      <c r="G169" s="73"/>
      <c r="H169" s="37"/>
      <c r="I169" s="37"/>
      <c r="J169" s="55"/>
      <c r="L169" s="45"/>
      <c r="M169" s="34"/>
      <c r="N169" s="34"/>
      <c r="O169" s="34"/>
      <c r="P169" s="34"/>
      <c r="Q169" s="34"/>
      <c r="R169" s="34"/>
      <c r="S169" s="34"/>
      <c r="T169" s="34"/>
      <c r="U169" s="34"/>
      <c r="V169" s="34"/>
    </row>
    <row r="170" spans="1:22" x14ac:dyDescent="0.2">
      <c r="A170" s="52">
        <f>'10 14 2018'!A168*1.025</f>
        <v>0.24433125462803343</v>
      </c>
      <c r="B170" s="57" t="s">
        <v>174</v>
      </c>
      <c r="C170" s="72"/>
      <c r="D170" s="72"/>
      <c r="E170" s="87"/>
      <c r="F170" s="73"/>
      <c r="G170" s="73"/>
      <c r="H170" s="37"/>
      <c r="I170" s="37"/>
      <c r="J170" s="55"/>
    </row>
    <row r="171" spans="1:22" s="5" customFormat="1" x14ac:dyDescent="0.2">
      <c r="A171" s="52">
        <f>'10 14 2018'!A169*1.025</f>
        <v>0.41042836368551427</v>
      </c>
      <c r="B171" s="57" t="s">
        <v>175</v>
      </c>
      <c r="C171" s="72"/>
      <c r="D171" s="72"/>
      <c r="E171" s="87"/>
      <c r="F171" s="73"/>
      <c r="G171" s="73"/>
      <c r="H171" s="37"/>
      <c r="I171" s="37"/>
      <c r="J171" s="55"/>
      <c r="K171" s="2"/>
      <c r="L171" s="50"/>
    </row>
    <row r="172" spans="1:22" s="5" customFormat="1" x14ac:dyDescent="0.2">
      <c r="A172" s="52">
        <f>'10 14 2018'!A170*1.025</f>
        <v>0.48625530477697287</v>
      </c>
      <c r="B172" s="57" t="s">
        <v>176</v>
      </c>
      <c r="C172" s="72"/>
      <c r="D172" s="72"/>
      <c r="E172" s="87"/>
      <c r="F172" s="73"/>
      <c r="G172" s="73"/>
      <c r="H172" s="37"/>
      <c r="I172" s="37"/>
      <c r="J172" s="55"/>
      <c r="K172" s="2"/>
      <c r="L172" s="50"/>
    </row>
    <row r="173" spans="1:22" s="5" customFormat="1" x14ac:dyDescent="0.2">
      <c r="A173" s="52">
        <f>'10 14 2018'!A171*1.025</f>
        <v>0.69808929893723837</v>
      </c>
      <c r="B173" s="57" t="s">
        <v>177</v>
      </c>
      <c r="C173" s="72"/>
      <c r="D173" s="72"/>
      <c r="E173" s="87"/>
      <c r="F173" s="73"/>
      <c r="G173" s="73"/>
      <c r="H173" s="37"/>
      <c r="I173" s="37"/>
      <c r="J173" s="55"/>
      <c r="K173" s="2"/>
      <c r="L173" s="50"/>
    </row>
    <row r="174" spans="1:22" s="5" customFormat="1" x14ac:dyDescent="0.2">
      <c r="A174" s="53"/>
      <c r="B174" s="57"/>
      <c r="C174" s="72"/>
      <c r="D174" s="72"/>
      <c r="E174" s="87"/>
      <c r="F174" s="73"/>
      <c r="G174" s="73"/>
      <c r="H174" s="37"/>
      <c r="I174" s="37"/>
      <c r="J174" s="55"/>
      <c r="K174" s="2"/>
      <c r="L174" s="50"/>
    </row>
    <row r="175" spans="1:22" s="5" customFormat="1" x14ac:dyDescent="0.2">
      <c r="A175" s="70" t="s">
        <v>178</v>
      </c>
      <c r="B175" s="2"/>
      <c r="C175" s="2"/>
      <c r="D175" s="2"/>
      <c r="E175" s="77"/>
      <c r="F175" s="2"/>
      <c r="G175" s="2"/>
      <c r="H175" s="2"/>
      <c r="I175" s="2"/>
      <c r="J175" s="2"/>
      <c r="K175" s="2"/>
      <c r="L175" s="50"/>
    </row>
    <row r="176" spans="1:22" s="5" customFormat="1" x14ac:dyDescent="0.2">
      <c r="A176" s="74" t="s">
        <v>179</v>
      </c>
      <c r="B176" s="2"/>
      <c r="C176" s="2"/>
      <c r="D176" s="2"/>
      <c r="E176" s="77"/>
      <c r="F176" s="2"/>
      <c r="G176" s="2"/>
      <c r="H176" s="2"/>
      <c r="I176" s="2"/>
      <c r="J176" s="2"/>
      <c r="K176" s="2"/>
    </row>
    <row r="177" spans="1:11" s="5" customFormat="1" x14ac:dyDescent="0.2">
      <c r="A177" s="74" t="s">
        <v>202</v>
      </c>
      <c r="B177" s="2"/>
      <c r="C177" s="2"/>
      <c r="D177" s="2"/>
      <c r="E177" s="77"/>
      <c r="F177" s="2"/>
      <c r="G177" s="2"/>
      <c r="H177" s="2"/>
      <c r="I177" s="2"/>
      <c r="J177" s="2"/>
      <c r="K177" s="2"/>
    </row>
    <row r="178" spans="1:11" s="5" customFormat="1" x14ac:dyDescent="0.2">
      <c r="A178" s="74"/>
      <c r="B178" s="2"/>
      <c r="C178" s="2"/>
      <c r="D178" s="2"/>
      <c r="E178" s="77"/>
      <c r="F178" s="2"/>
      <c r="G178" s="2"/>
      <c r="H178" s="2"/>
      <c r="I178" s="2"/>
      <c r="J178" s="2"/>
      <c r="K178" s="2"/>
    </row>
    <row r="180" spans="1:11" x14ac:dyDescent="0.2">
      <c r="A180" s="70" t="s">
        <v>199</v>
      </c>
    </row>
  </sheetData>
  <printOptions gridLines="1"/>
  <pageMargins left="0.25" right="0.25" top="0.75" bottom="0.75" header="0.3" footer="0.3"/>
  <pageSetup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W182"/>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4257812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201</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((('10 14 2018'!H5+1)*1.025)-1)</f>
        <v>28.334744704413929</v>
      </c>
      <c r="I5" s="15">
        <f>((('10 14 2018'!I5+1)*1.025)-1)</f>
        <v>29.556046976895392</v>
      </c>
      <c r="J5" s="4"/>
      <c r="K5" s="4"/>
      <c r="L5" s="16"/>
      <c r="M5" s="16"/>
      <c r="N5" s="16"/>
      <c r="O5" s="16"/>
      <c r="Q5" s="16"/>
      <c r="R5" s="17"/>
      <c r="S5" s="16"/>
      <c r="T5" s="16"/>
    </row>
    <row r="6" spans="1:23" x14ac:dyDescent="0.2">
      <c r="A6" s="4" t="s">
        <v>15</v>
      </c>
      <c r="B6" s="4" t="s">
        <v>184</v>
      </c>
      <c r="C6" s="75" t="s">
        <v>196</v>
      </c>
      <c r="D6" s="3" t="s">
        <v>16</v>
      </c>
      <c r="E6" s="79">
        <v>283</v>
      </c>
      <c r="F6" s="4">
        <v>6</v>
      </c>
      <c r="G6" s="4" t="s">
        <v>14</v>
      </c>
      <c r="H6" s="15">
        <f>((('10 14 2018'!H6+1)*1.025)-1)</f>
        <v>26.442021182616546</v>
      </c>
      <c r="I6" s="15">
        <f>((('10 14 2018'!I6+1)*1.025)-1)</f>
        <v>28.741845461907754</v>
      </c>
      <c r="J6" s="4"/>
      <c r="K6" s="16"/>
      <c r="L6" s="16"/>
      <c r="M6" s="16"/>
      <c r="N6" s="16"/>
      <c r="P6" s="17"/>
      <c r="Q6" s="16"/>
      <c r="R6" s="16"/>
      <c r="S6" s="16"/>
      <c r="V6" s="2"/>
    </row>
    <row r="7" spans="1:23" x14ac:dyDescent="0.2">
      <c r="A7" s="4" t="s">
        <v>249</v>
      </c>
      <c r="B7" s="4" t="s">
        <v>184</v>
      </c>
      <c r="C7" s="75" t="s">
        <v>194</v>
      </c>
      <c r="D7" s="3" t="s">
        <v>248</v>
      </c>
      <c r="E7" s="4">
        <v>328</v>
      </c>
      <c r="F7" s="4">
        <v>7</v>
      </c>
      <c r="G7" s="4" t="s">
        <v>14</v>
      </c>
      <c r="H7" s="15">
        <v>30.852869389897474</v>
      </c>
      <c r="I7" s="15">
        <v>33.320253980968744</v>
      </c>
      <c r="J7" s="4"/>
      <c r="K7" s="16"/>
      <c r="L7" s="16"/>
      <c r="M7" s="16"/>
      <c r="N7" s="16"/>
      <c r="P7" s="17"/>
      <c r="Q7" s="16"/>
      <c r="R7" s="16"/>
      <c r="S7" s="16"/>
      <c r="V7" s="2"/>
    </row>
    <row r="8" spans="1:23" x14ac:dyDescent="0.2">
      <c r="A8" s="4" t="s">
        <v>17</v>
      </c>
      <c r="B8" s="4" t="s">
        <v>184</v>
      </c>
      <c r="C8" s="75" t="s">
        <v>194</v>
      </c>
      <c r="D8" s="3" t="s">
        <v>18</v>
      </c>
      <c r="E8" s="79">
        <v>335</v>
      </c>
      <c r="F8" s="4">
        <v>7</v>
      </c>
      <c r="G8" s="4" t="s">
        <v>14</v>
      </c>
      <c r="H8" s="15">
        <f>((('10 14 2018'!H7+1)*1.025)-1)</f>
        <v>30.852869389897474</v>
      </c>
      <c r="I8" s="15">
        <f>((('10 14 2018'!I7+1)*1.025)-1)</f>
        <v>33.320253980968744</v>
      </c>
      <c r="J8" s="4"/>
      <c r="K8" s="16"/>
      <c r="L8" s="16"/>
      <c r="M8" s="16"/>
      <c r="N8" s="16"/>
      <c r="P8" s="17"/>
      <c r="Q8" s="16"/>
      <c r="R8" s="16"/>
      <c r="S8" s="16"/>
      <c r="V8" s="2"/>
    </row>
    <row r="9" spans="1:23" x14ac:dyDescent="0.2">
      <c r="A9" s="4" t="s">
        <v>19</v>
      </c>
      <c r="B9" s="4" t="s">
        <v>184</v>
      </c>
      <c r="C9" s="75" t="s">
        <v>197</v>
      </c>
      <c r="D9" s="3" t="s">
        <v>20</v>
      </c>
      <c r="E9" s="79">
        <v>393</v>
      </c>
      <c r="F9" s="4">
        <v>8</v>
      </c>
      <c r="G9" s="4" t="s">
        <v>14</v>
      </c>
      <c r="H9" s="15">
        <f>((('10 14 2018'!H8+1)*1.025)-1)</f>
        <v>33.459494240053594</v>
      </c>
      <c r="I9" s="15">
        <f>((('10 14 2018'!I8+1)*1.025)-1)</f>
        <v>36.735180335134345</v>
      </c>
      <c r="J9" s="4"/>
      <c r="K9" s="16"/>
      <c r="L9" s="16"/>
      <c r="M9" s="16"/>
      <c r="N9" s="16"/>
      <c r="P9" s="17"/>
      <c r="Q9" s="16"/>
      <c r="R9" s="16"/>
      <c r="S9" s="16"/>
      <c r="V9" s="2"/>
    </row>
    <row r="10" spans="1:23" x14ac:dyDescent="0.2">
      <c r="A10" s="4" t="s">
        <v>21</v>
      </c>
      <c r="B10" s="4" t="s">
        <v>184</v>
      </c>
      <c r="C10" s="75" t="s">
        <v>193</v>
      </c>
      <c r="D10" s="14" t="s">
        <v>22</v>
      </c>
      <c r="E10" s="79">
        <v>295</v>
      </c>
      <c r="F10" s="4">
        <v>6</v>
      </c>
      <c r="G10" s="4" t="s">
        <v>14</v>
      </c>
      <c r="H10" s="15">
        <f>((('10 14 2018'!H9+1)*1.025)-1)</f>
        <v>27.301062781038297</v>
      </c>
      <c r="I10" s="15">
        <f>((('10 14 2018'!I9+1)*1.025)-1)</f>
        <v>29.265766436769365</v>
      </c>
      <c r="J10" s="4"/>
      <c r="K10" s="16"/>
      <c r="L10" s="16"/>
      <c r="M10" s="16"/>
      <c r="N10" s="16"/>
      <c r="P10" s="17"/>
      <c r="Q10" s="16"/>
      <c r="R10" s="16"/>
      <c r="S10" s="16"/>
      <c r="V10" s="2"/>
    </row>
    <row r="11" spans="1:23" x14ac:dyDescent="0.2">
      <c r="A11" s="4" t="s">
        <v>255</v>
      </c>
      <c r="B11" s="4" t="s">
        <v>184</v>
      </c>
      <c r="C11" s="75" t="s">
        <v>194</v>
      </c>
      <c r="D11" s="3" t="s">
        <v>251</v>
      </c>
      <c r="E11" s="4">
        <v>328</v>
      </c>
      <c r="F11" s="4">
        <v>7</v>
      </c>
      <c r="G11" s="4" t="s">
        <v>14</v>
      </c>
      <c r="H11" s="15">
        <v>30.852869389897474</v>
      </c>
      <c r="I11" s="15">
        <v>33.320253980968744</v>
      </c>
      <c r="J11" s="4"/>
      <c r="K11" s="16"/>
      <c r="L11" s="16"/>
      <c r="M11" s="16"/>
      <c r="N11" s="16"/>
      <c r="P11" s="17"/>
      <c r="Q11" s="16"/>
      <c r="R11" s="16"/>
      <c r="S11" s="16"/>
      <c r="V11" s="2"/>
    </row>
    <row r="12" spans="1:23" x14ac:dyDescent="0.2">
      <c r="A12" s="4" t="s">
        <v>23</v>
      </c>
      <c r="B12" s="4" t="s">
        <v>184</v>
      </c>
      <c r="C12" s="75" t="s">
        <v>192</v>
      </c>
      <c r="D12" s="3" t="s">
        <v>214</v>
      </c>
      <c r="E12" s="79">
        <v>295</v>
      </c>
      <c r="F12" s="4">
        <v>6</v>
      </c>
      <c r="G12" s="4" t="s">
        <v>14</v>
      </c>
      <c r="H12" s="15">
        <f>((('10 14 2018'!H10+1)*1.025)-1)</f>
        <v>28.334744704413929</v>
      </c>
      <c r="I12" s="15">
        <f>((('10 14 2018'!I10+1)*1.025)-1)</f>
        <v>29.556046976895392</v>
      </c>
      <c r="J12" s="4"/>
      <c r="K12" s="4"/>
      <c r="L12" s="16"/>
      <c r="M12" s="16"/>
      <c r="N12" s="16"/>
      <c r="O12" s="16"/>
      <c r="Q12" s="16"/>
      <c r="R12" s="17"/>
      <c r="S12" s="16"/>
      <c r="T12" s="16"/>
    </row>
    <row r="13" spans="1:23" x14ac:dyDescent="0.2">
      <c r="A13" s="4" t="s">
        <v>25</v>
      </c>
      <c r="B13" s="4" t="s">
        <v>184</v>
      </c>
      <c r="C13" s="75" t="s">
        <v>195</v>
      </c>
      <c r="D13" s="3" t="s">
        <v>26</v>
      </c>
      <c r="E13" s="79">
        <v>285</v>
      </c>
      <c r="F13" s="4">
        <v>6</v>
      </c>
      <c r="G13" s="4" t="s">
        <v>14</v>
      </c>
      <c r="H13" s="4" t="s">
        <v>27</v>
      </c>
      <c r="I13" s="15">
        <f>((('10 14 2018'!I11+1)*1.025)-1)</f>
        <v>31.166668993393351</v>
      </c>
      <c r="J13" s="4"/>
      <c r="K13" s="4"/>
      <c r="L13" s="16"/>
      <c r="M13" s="16"/>
      <c r="N13" s="16"/>
      <c r="O13" s="16"/>
      <c r="Q13" s="16"/>
      <c r="R13" s="17"/>
      <c r="S13" s="16"/>
      <c r="T13" s="16"/>
    </row>
    <row r="14" spans="1:23" s="5" customFormat="1" x14ac:dyDescent="0.2">
      <c r="A14" s="4" t="s">
        <v>28</v>
      </c>
      <c r="B14" s="4" t="s">
        <v>184</v>
      </c>
      <c r="C14" s="4">
        <v>36</v>
      </c>
      <c r="D14" s="3" t="s">
        <v>29</v>
      </c>
      <c r="E14" s="79"/>
      <c r="F14" s="4"/>
      <c r="G14" s="4"/>
      <c r="H14" s="4"/>
      <c r="I14" s="15"/>
      <c r="J14" s="4" t="s">
        <v>30</v>
      </c>
      <c r="K14" s="4"/>
      <c r="L14" s="16"/>
      <c r="M14" s="16"/>
      <c r="N14" s="16"/>
      <c r="O14" s="16"/>
      <c r="Q14" s="17"/>
      <c r="R14" s="17"/>
      <c r="S14" s="16"/>
      <c r="T14" s="16"/>
      <c r="W14" s="2"/>
    </row>
    <row r="15" spans="1:23" s="5" customFormat="1" x14ac:dyDescent="0.2">
      <c r="A15" s="4"/>
      <c r="B15" s="4" t="s">
        <v>184</v>
      </c>
      <c r="C15" s="4" t="s">
        <v>10</v>
      </c>
      <c r="D15" s="18" t="s">
        <v>31</v>
      </c>
      <c r="E15" s="80"/>
      <c r="F15" s="19"/>
      <c r="G15" s="20" t="s">
        <v>14</v>
      </c>
      <c r="H15" s="4" t="s">
        <v>27</v>
      </c>
      <c r="I15" s="15">
        <f>((('10 14 2018'!I13+1)*1.025)-1)</f>
        <v>27.978569943186169</v>
      </c>
      <c r="J15" s="4"/>
      <c r="K15" s="4"/>
      <c r="L15" s="16"/>
      <c r="M15" s="16"/>
      <c r="N15" s="16"/>
      <c r="O15" s="16"/>
      <c r="Q15" s="22"/>
      <c r="R15" s="22"/>
      <c r="S15" s="16"/>
      <c r="T15" s="16"/>
      <c r="W15" s="2"/>
    </row>
    <row r="16" spans="1:23" s="5" customFormat="1" x14ac:dyDescent="0.2">
      <c r="A16" s="4"/>
      <c r="B16" s="4" t="s">
        <v>184</v>
      </c>
      <c r="C16" s="4" t="s">
        <v>186</v>
      </c>
      <c r="D16" s="18" t="s">
        <v>32</v>
      </c>
      <c r="E16" s="80"/>
      <c r="F16" s="19"/>
      <c r="G16" s="20" t="s">
        <v>14</v>
      </c>
      <c r="H16" s="4" t="s">
        <v>27</v>
      </c>
      <c r="I16" s="15">
        <f>((('10 14 2018'!I14+1)*1.025)-1)</f>
        <v>28.92631382586903</v>
      </c>
      <c r="J16" s="4" t="s">
        <v>30</v>
      </c>
      <c r="K16" s="4"/>
      <c r="L16" s="16"/>
      <c r="M16" s="16"/>
      <c r="N16" s="16"/>
      <c r="O16" s="16"/>
      <c r="Q16" s="22"/>
      <c r="R16" s="22"/>
      <c r="S16" s="16"/>
      <c r="T16" s="16"/>
      <c r="W16" s="2"/>
    </row>
    <row r="17" spans="1:23" s="5" customFormat="1" x14ac:dyDescent="0.2">
      <c r="A17" s="4"/>
      <c r="B17" s="4" t="s">
        <v>184</v>
      </c>
      <c r="C17" s="4" t="s">
        <v>187</v>
      </c>
      <c r="D17" s="18" t="s">
        <v>33</v>
      </c>
      <c r="E17" s="80"/>
      <c r="F17" s="19"/>
      <c r="G17" s="20" t="s">
        <v>14</v>
      </c>
      <c r="H17" s="4" t="s">
        <v>27</v>
      </c>
      <c r="I17" s="15">
        <f>((('10 14 2018'!I15+1)*1.025)-1)</f>
        <v>29.673098881710469</v>
      </c>
      <c r="J17" s="4" t="s">
        <v>30</v>
      </c>
      <c r="K17" s="4"/>
      <c r="L17" s="16"/>
      <c r="M17" s="16"/>
      <c r="N17" s="16"/>
      <c r="O17" s="16"/>
      <c r="Q17" s="22"/>
      <c r="R17" s="22"/>
      <c r="S17" s="16"/>
      <c r="T17" s="16"/>
      <c r="W17" s="2"/>
    </row>
    <row r="18" spans="1:23" s="5" customFormat="1" x14ac:dyDescent="0.2">
      <c r="A18" s="29"/>
      <c r="B18" s="29" t="s">
        <v>184</v>
      </c>
      <c r="C18" s="4" t="s">
        <v>188</v>
      </c>
      <c r="D18" s="23" t="s">
        <v>34</v>
      </c>
      <c r="E18" s="81"/>
      <c r="F18" s="24"/>
      <c r="G18" s="25" t="s">
        <v>14</v>
      </c>
      <c r="H18" s="4" t="s">
        <v>27</v>
      </c>
      <c r="I18" s="15">
        <f>((('10 14 2018'!I16+1)*1.025)-1)</f>
        <v>30.419883937551909</v>
      </c>
      <c r="J18" s="4" t="s">
        <v>30</v>
      </c>
      <c r="K18" s="4"/>
      <c r="L18" s="16"/>
      <c r="M18" s="16"/>
      <c r="N18" s="16"/>
      <c r="O18" s="16"/>
      <c r="Q18" s="26"/>
      <c r="R18" s="26"/>
      <c r="S18" s="16"/>
      <c r="T18" s="27"/>
      <c r="W18" s="2"/>
    </row>
    <row r="19" spans="1:23" s="5" customFormat="1" x14ac:dyDescent="0.2">
      <c r="A19" s="29"/>
      <c r="B19" s="29" t="s">
        <v>184</v>
      </c>
      <c r="C19" s="4" t="s">
        <v>189</v>
      </c>
      <c r="D19" s="23" t="s">
        <v>35</v>
      </c>
      <c r="E19" s="81"/>
      <c r="F19" s="24"/>
      <c r="G19" s="25" t="s">
        <v>14</v>
      </c>
      <c r="H19" s="4" t="s">
        <v>27</v>
      </c>
      <c r="I19" s="15">
        <f>((('10 14 2018'!I17+1)*1.025)-1)</f>
        <v>31.166668993393351</v>
      </c>
      <c r="J19" s="4"/>
      <c r="K19" s="4"/>
      <c r="L19" s="16"/>
      <c r="M19" s="16"/>
      <c r="N19" s="16"/>
      <c r="O19" s="16"/>
      <c r="Q19" s="26"/>
      <c r="R19" s="26"/>
      <c r="S19" s="16"/>
      <c r="T19" s="27"/>
      <c r="W19" s="2"/>
    </row>
    <row r="20" spans="1:23" s="5" customFormat="1" x14ac:dyDescent="0.2">
      <c r="A20" s="29"/>
      <c r="B20" s="29" t="s">
        <v>184</v>
      </c>
      <c r="C20" s="4"/>
      <c r="D20" s="23"/>
      <c r="E20" s="81"/>
      <c r="F20" s="24"/>
      <c r="G20" s="25"/>
      <c r="H20" s="4"/>
      <c r="I20" s="15"/>
      <c r="J20" s="4"/>
      <c r="K20" s="4"/>
      <c r="L20" s="16"/>
      <c r="M20" s="16"/>
      <c r="N20" s="16"/>
      <c r="O20" s="16"/>
      <c r="Q20" s="26"/>
      <c r="R20" s="26"/>
      <c r="S20" s="16"/>
      <c r="T20" s="27"/>
      <c r="W20" s="2"/>
    </row>
    <row r="21" spans="1:23" s="5" customFormat="1" x14ac:dyDescent="0.2">
      <c r="A21" s="29" t="s">
        <v>36</v>
      </c>
      <c r="B21" s="29" t="s">
        <v>184</v>
      </c>
      <c r="C21" s="4">
        <v>37</v>
      </c>
      <c r="D21" s="23" t="s">
        <v>37</v>
      </c>
      <c r="E21" s="81"/>
      <c r="F21" s="24"/>
      <c r="G21" s="25"/>
      <c r="H21" s="4"/>
      <c r="I21" s="15"/>
      <c r="J21" s="4"/>
      <c r="K21" s="4"/>
      <c r="L21" s="16"/>
      <c r="M21" s="16"/>
      <c r="N21" s="16"/>
      <c r="O21" s="16"/>
      <c r="Q21" s="26"/>
      <c r="R21" s="26"/>
      <c r="S21" s="16"/>
      <c r="T21" s="27"/>
      <c r="W21" s="2"/>
    </row>
    <row r="22" spans="1:23" s="5" customFormat="1" x14ac:dyDescent="0.2">
      <c r="A22" s="29"/>
      <c r="B22" s="29" t="s">
        <v>184</v>
      </c>
      <c r="C22" s="4" t="s">
        <v>10</v>
      </c>
      <c r="D22" s="23" t="s">
        <v>38</v>
      </c>
      <c r="E22" s="81"/>
      <c r="F22" s="24"/>
      <c r="G22" s="25" t="s">
        <v>14</v>
      </c>
      <c r="H22" s="4" t="s">
        <v>27</v>
      </c>
      <c r="I22" s="15">
        <f>((('10 14 2018'!I20+1)*1.025)-1)</f>
        <v>28.841263544332399</v>
      </c>
      <c r="J22" s="4"/>
      <c r="K22" s="4"/>
      <c r="L22" s="16"/>
      <c r="M22" s="16"/>
      <c r="N22" s="16"/>
      <c r="O22" s="16"/>
      <c r="Q22" s="26"/>
      <c r="R22" s="26"/>
      <c r="S22" s="16"/>
      <c r="T22" s="27"/>
      <c r="W22" s="2"/>
    </row>
    <row r="23" spans="1:23" s="5" customFormat="1" x14ac:dyDescent="0.2">
      <c r="A23" s="29"/>
      <c r="B23" s="29" t="s">
        <v>184</v>
      </c>
      <c r="C23" s="4" t="s">
        <v>186</v>
      </c>
      <c r="D23" s="23" t="s">
        <v>32</v>
      </c>
      <c r="E23" s="81"/>
      <c r="F23" s="24"/>
      <c r="G23" s="25" t="s">
        <v>14</v>
      </c>
      <c r="H23" s="4" t="s">
        <v>27</v>
      </c>
      <c r="I23" s="15">
        <f>((('10 14 2018'!I21+1)*1.025)-1)</f>
        <v>29.579750749730287</v>
      </c>
      <c r="J23" s="4"/>
      <c r="K23" s="4"/>
      <c r="L23" s="16"/>
      <c r="M23" s="16"/>
      <c r="N23" s="16"/>
      <c r="O23" s="16"/>
      <c r="Q23" s="26"/>
      <c r="R23" s="26"/>
      <c r="S23" s="16"/>
      <c r="T23" s="27"/>
      <c r="W23" s="2"/>
    </row>
    <row r="24" spans="1:23" s="5" customFormat="1" x14ac:dyDescent="0.2">
      <c r="A24" s="29"/>
      <c r="B24" s="29" t="s">
        <v>184</v>
      </c>
      <c r="C24" s="4" t="s">
        <v>187</v>
      </c>
      <c r="D24" s="23" t="s">
        <v>33</v>
      </c>
      <c r="E24" s="81"/>
      <c r="F24" s="24"/>
      <c r="G24" s="25" t="s">
        <v>14</v>
      </c>
      <c r="H24" s="4" t="s">
        <v>27</v>
      </c>
      <c r="I24" s="15">
        <f>((('10 14 2018'!I22+1)*1.025)-1)</f>
        <v>30.108723497617977</v>
      </c>
      <c r="J24" s="4"/>
      <c r="K24" s="4"/>
      <c r="L24" s="16"/>
      <c r="M24" s="16"/>
      <c r="N24" s="16"/>
      <c r="O24" s="16"/>
      <c r="Q24" s="26"/>
      <c r="R24" s="26"/>
      <c r="S24" s="16"/>
      <c r="T24" s="27"/>
      <c r="W24" s="2"/>
    </row>
    <row r="25" spans="1:23" s="5" customFormat="1" x14ac:dyDescent="0.2">
      <c r="A25" s="29"/>
      <c r="B25" s="29" t="s">
        <v>184</v>
      </c>
      <c r="C25" s="4" t="s">
        <v>188</v>
      </c>
      <c r="D25" s="23" t="s">
        <v>34</v>
      </c>
      <c r="E25" s="81"/>
      <c r="F25" s="24"/>
      <c r="G25" s="25" t="s">
        <v>14</v>
      </c>
      <c r="H25" s="4" t="s">
        <v>27</v>
      </c>
      <c r="I25" s="15">
        <f>((('10 14 2018'!I23+1)*1.025)-1)</f>
        <v>30.637696245505662</v>
      </c>
      <c r="J25" s="4"/>
      <c r="K25" s="4"/>
      <c r="L25" s="16"/>
      <c r="M25" s="16"/>
      <c r="N25" s="16"/>
      <c r="O25" s="16"/>
      <c r="Q25" s="26"/>
      <c r="R25" s="26"/>
      <c r="S25" s="16"/>
      <c r="T25" s="27"/>
      <c r="W25" s="2"/>
    </row>
    <row r="26" spans="1:23" s="5" customFormat="1" x14ac:dyDescent="0.2">
      <c r="A26" s="29"/>
      <c r="B26" s="29" t="s">
        <v>184</v>
      </c>
      <c r="C26" s="4" t="s">
        <v>189</v>
      </c>
      <c r="D26" s="23" t="s">
        <v>35</v>
      </c>
      <c r="E26" s="81"/>
      <c r="F26" s="24"/>
      <c r="G26" s="25" t="s">
        <v>14</v>
      </c>
      <c r="H26" s="4" t="s">
        <v>27</v>
      </c>
      <c r="I26" s="15">
        <f>((('10 14 2018'!I24+1)*1.025)-1)</f>
        <v>31.166668993393351</v>
      </c>
      <c r="J26" s="4"/>
      <c r="K26" s="4"/>
      <c r="L26" s="16"/>
      <c r="M26" s="16"/>
      <c r="N26" s="16"/>
      <c r="O26" s="16"/>
      <c r="Q26" s="26"/>
      <c r="R26" s="26"/>
      <c r="S26" s="16"/>
      <c r="T26" s="27"/>
      <c r="W26" s="2"/>
    </row>
    <row r="27" spans="1:23" s="5" customFormat="1" x14ac:dyDescent="0.2">
      <c r="A27" s="29"/>
      <c r="B27" s="29" t="s">
        <v>184</v>
      </c>
      <c r="C27" s="4"/>
      <c r="D27" s="23"/>
      <c r="E27" s="81"/>
      <c r="F27" s="24"/>
      <c r="G27" s="25"/>
      <c r="H27" s="4" t="s">
        <v>30</v>
      </c>
      <c r="I27" s="15"/>
      <c r="J27" s="4" t="s">
        <v>30</v>
      </c>
      <c r="K27" s="4"/>
      <c r="L27" s="26"/>
      <c r="M27" s="26"/>
      <c r="N27" s="27"/>
      <c r="O27" s="27"/>
      <c r="Q27" s="26"/>
      <c r="R27" s="26"/>
      <c r="S27" s="27"/>
      <c r="T27" s="27"/>
      <c r="W27" s="2"/>
    </row>
    <row r="28" spans="1:23" s="5" customFormat="1" x14ac:dyDescent="0.2">
      <c r="A28" s="29"/>
      <c r="B28" s="29" t="s">
        <v>184</v>
      </c>
      <c r="C28" s="4"/>
      <c r="D28" s="28" t="s">
        <v>39</v>
      </c>
      <c r="E28" s="81"/>
      <c r="F28" s="24"/>
      <c r="G28" s="25"/>
      <c r="H28" s="4"/>
      <c r="I28" s="15"/>
      <c r="J28" s="4"/>
      <c r="K28" s="4"/>
      <c r="L28" s="26"/>
      <c r="M28" s="26"/>
      <c r="N28" s="27"/>
      <c r="O28" s="27"/>
      <c r="Q28" s="26"/>
      <c r="R28" s="26"/>
      <c r="S28" s="27"/>
      <c r="T28" s="27"/>
      <c r="W28" s="2"/>
    </row>
    <row r="29" spans="1:23" s="5" customFormat="1" x14ac:dyDescent="0.2">
      <c r="A29" s="29" t="s">
        <v>40</v>
      </c>
      <c r="B29" s="4" t="s">
        <v>184</v>
      </c>
      <c r="C29" s="4" t="s">
        <v>190</v>
      </c>
      <c r="D29" s="30" t="s">
        <v>41</v>
      </c>
      <c r="E29" s="79">
        <v>275</v>
      </c>
      <c r="F29" s="4">
        <v>6</v>
      </c>
      <c r="G29" s="25" t="s">
        <v>14</v>
      </c>
      <c r="H29" s="21">
        <f>((('10 14 2018'!H27+1)*1.025)-1)</f>
        <v>28.06616694976838</v>
      </c>
      <c r="I29" s="15">
        <f>((('10 14 2018'!I27+1)*1.025)-1)</f>
        <v>29.301166502638395</v>
      </c>
      <c r="J29" s="4"/>
      <c r="K29" s="4"/>
      <c r="L29" s="26"/>
      <c r="M29" s="26"/>
      <c r="N29" s="27"/>
      <c r="O29" s="27"/>
      <c r="Q29" s="26"/>
      <c r="R29" s="26"/>
      <c r="S29" s="27"/>
      <c r="T29" s="27"/>
      <c r="W29" s="2"/>
    </row>
    <row r="30" spans="1:23" s="5" customFormat="1" ht="11.25" customHeight="1" x14ac:dyDescent="0.2">
      <c r="A30" s="29"/>
      <c r="B30" s="31"/>
      <c r="C30" s="31"/>
      <c r="D30" s="31"/>
      <c r="E30" s="82"/>
      <c r="F30" s="31"/>
      <c r="G30" s="31"/>
      <c r="H30" s="31"/>
      <c r="I30" s="31"/>
      <c r="J30" s="31"/>
      <c r="K30" s="2"/>
      <c r="W30" s="2"/>
    </row>
    <row r="31" spans="1:23" x14ac:dyDescent="0.2">
      <c r="A31" s="2" t="s">
        <v>224</v>
      </c>
      <c r="B31" s="31"/>
      <c r="C31" s="31"/>
      <c r="D31" s="31"/>
      <c r="E31" s="82"/>
      <c r="F31" s="31"/>
      <c r="G31" s="31"/>
      <c r="H31" s="31"/>
      <c r="I31" s="31"/>
      <c r="J31" s="31"/>
      <c r="L31" s="2"/>
      <c r="M31" s="2"/>
      <c r="N31" s="2"/>
      <c r="O31" s="2"/>
      <c r="P31" s="2"/>
      <c r="Q31" s="2"/>
      <c r="R31" s="2"/>
      <c r="S31" s="2"/>
      <c r="T31" s="2"/>
      <c r="U31" s="2"/>
      <c r="V31" s="2"/>
    </row>
    <row r="32" spans="1:23" s="33" customFormat="1" x14ac:dyDescent="0.2">
      <c r="A32" s="1"/>
      <c r="E32" s="83"/>
    </row>
    <row r="33" spans="1:22" s="33" customFormat="1" x14ac:dyDescent="0.2">
      <c r="A33" s="33" t="s">
        <v>225</v>
      </c>
      <c r="E33" s="83"/>
      <c r="L33" s="34"/>
      <c r="M33" s="34"/>
      <c r="N33" s="34"/>
      <c r="O33" s="34"/>
      <c r="P33" s="34"/>
      <c r="Q33" s="34"/>
      <c r="R33" s="34"/>
      <c r="S33" s="34"/>
      <c r="T33" s="34"/>
      <c r="U33" s="34"/>
      <c r="V33" s="34"/>
    </row>
    <row r="34" spans="1:22" x14ac:dyDescent="0.2">
      <c r="A34" s="33" t="s">
        <v>44</v>
      </c>
      <c r="F34" s="4"/>
      <c r="G34" s="35"/>
      <c r="H34" s="35"/>
      <c r="I34" s="35"/>
      <c r="J34" s="4"/>
    </row>
    <row r="35" spans="1:22" s="33" customFormat="1" x14ac:dyDescent="0.2">
      <c r="A35" s="1"/>
      <c r="E35" s="83"/>
      <c r="L35" s="34"/>
      <c r="M35" s="34"/>
      <c r="N35" s="34"/>
      <c r="O35" s="34"/>
      <c r="P35" s="34"/>
      <c r="Q35" s="34"/>
      <c r="R35" s="34"/>
      <c r="S35" s="34"/>
      <c r="T35" s="34"/>
      <c r="U35" s="34"/>
      <c r="V35" s="34"/>
    </row>
    <row r="36" spans="1:22" s="33" customFormat="1" x14ac:dyDescent="0.2">
      <c r="A36" s="36" t="s">
        <v>226</v>
      </c>
      <c r="E36" s="83"/>
      <c r="L36" s="34"/>
      <c r="M36" s="34"/>
      <c r="N36" s="34"/>
      <c r="O36" s="34"/>
      <c r="P36" s="34"/>
      <c r="Q36" s="34"/>
      <c r="R36" s="34"/>
      <c r="S36" s="34"/>
      <c r="T36" s="34"/>
      <c r="U36" s="34"/>
      <c r="V36" s="34"/>
    </row>
    <row r="37" spans="1:22" x14ac:dyDescent="0.2">
      <c r="A37" s="36" t="s">
        <v>46</v>
      </c>
      <c r="F37" s="4"/>
      <c r="G37" s="35"/>
      <c r="H37" s="35"/>
      <c r="I37" s="35"/>
      <c r="J37" s="4"/>
    </row>
    <row r="38" spans="1:22" s="33" customFormat="1" x14ac:dyDescent="0.2">
      <c r="A38" s="18"/>
      <c r="B38" s="19"/>
      <c r="C38" s="19"/>
      <c r="D38" s="19"/>
      <c r="E38" s="84"/>
      <c r="F38" s="37"/>
      <c r="G38" s="38"/>
      <c r="H38" s="37"/>
      <c r="I38" s="37"/>
      <c r="J38" s="37"/>
      <c r="K38" s="37"/>
      <c r="L38" s="2"/>
      <c r="M38" s="34"/>
      <c r="O38" s="34"/>
      <c r="P38" s="34"/>
      <c r="Q38" s="34"/>
      <c r="R38" s="34"/>
      <c r="S38" s="34"/>
      <c r="T38" s="34"/>
      <c r="U38" s="34"/>
      <c r="V38" s="34"/>
    </row>
    <row r="39" spans="1:22" s="33" customFormat="1" x14ac:dyDescent="0.2">
      <c r="A39" s="39" t="s">
        <v>229</v>
      </c>
      <c r="E39" s="83"/>
      <c r="M39" s="34"/>
      <c r="N39" s="2"/>
      <c r="O39" s="34"/>
      <c r="P39" s="34"/>
      <c r="Q39" s="34"/>
      <c r="R39" s="34"/>
      <c r="S39" s="34"/>
      <c r="T39" s="34"/>
      <c r="U39" s="34"/>
      <c r="V39" s="34"/>
    </row>
    <row r="40" spans="1:22" x14ac:dyDescent="0.2">
      <c r="A40" s="39" t="s">
        <v>48</v>
      </c>
      <c r="B40" s="33"/>
      <c r="C40" s="33"/>
      <c r="D40" s="33"/>
      <c r="G40" s="76">
        <f>'10 14 2018'!G38*1.025</f>
        <v>1.180002195634277</v>
      </c>
      <c r="H40" s="33" t="s">
        <v>49</v>
      </c>
      <c r="I40" s="33"/>
      <c r="J40" s="33"/>
      <c r="K40" s="33"/>
      <c r="L40" s="33"/>
      <c r="N40" s="33"/>
    </row>
    <row r="41" spans="1:22" s="33" customFormat="1" x14ac:dyDescent="0.2">
      <c r="A41" s="20"/>
      <c r="B41" s="19"/>
      <c r="C41" s="19"/>
      <c r="D41" s="19"/>
      <c r="E41" s="80"/>
      <c r="F41" s="19"/>
      <c r="G41" s="20"/>
      <c r="H41" s="37"/>
      <c r="I41" s="37"/>
      <c r="J41" s="37"/>
      <c r="K41" s="37"/>
      <c r="L41" s="2"/>
      <c r="M41" s="34"/>
      <c r="N41" s="34"/>
      <c r="O41" s="34"/>
      <c r="P41" s="34"/>
      <c r="Q41" s="34"/>
      <c r="R41" s="34"/>
      <c r="S41" s="34"/>
      <c r="T41" s="34"/>
      <c r="U41" s="34"/>
      <c r="V41" s="34"/>
    </row>
    <row r="42" spans="1:22" s="33" customFormat="1" x14ac:dyDescent="0.2">
      <c r="A42" s="39" t="s">
        <v>232</v>
      </c>
      <c r="E42" s="83"/>
      <c r="G42" s="4"/>
      <c r="M42" s="34"/>
      <c r="N42" s="34"/>
      <c r="O42" s="34"/>
      <c r="P42" s="34"/>
      <c r="Q42" s="34"/>
      <c r="R42" s="34"/>
      <c r="S42" s="34"/>
      <c r="T42" s="34"/>
      <c r="U42" s="34"/>
      <c r="V42" s="34"/>
    </row>
    <row r="43" spans="1:22" x14ac:dyDescent="0.2">
      <c r="A43" s="39" t="s">
        <v>51</v>
      </c>
      <c r="B43" s="33"/>
      <c r="C43" s="33"/>
      <c r="D43" s="33"/>
      <c r="G43" s="76">
        <f>'10 14 2018'!G41*1.025</f>
        <v>1.9319643791267083</v>
      </c>
      <c r="H43" s="33" t="s">
        <v>49</v>
      </c>
      <c r="I43" s="33"/>
      <c r="J43" s="33"/>
      <c r="K43" s="33"/>
      <c r="L43" s="33"/>
    </row>
    <row r="44" spans="1:22" s="33" customFormat="1" x14ac:dyDescent="0.2">
      <c r="A44" s="20"/>
      <c r="E44" s="83"/>
      <c r="G44" s="4"/>
      <c r="L44" s="34"/>
      <c r="M44" s="34"/>
      <c r="N44" s="34"/>
      <c r="O44" s="34"/>
      <c r="P44" s="34"/>
      <c r="Q44" s="34"/>
      <c r="R44" s="34"/>
      <c r="S44" s="34"/>
      <c r="T44" s="34"/>
      <c r="U44" s="34"/>
      <c r="V44" s="34"/>
    </row>
    <row r="45" spans="1:22" s="33" customFormat="1" x14ac:dyDescent="0.2">
      <c r="A45" s="20"/>
      <c r="E45" s="83"/>
      <c r="G45" s="4"/>
      <c r="L45" s="34"/>
      <c r="M45" s="34"/>
      <c r="N45" s="34"/>
      <c r="O45" s="34"/>
      <c r="P45" s="34"/>
      <c r="Q45" s="34"/>
      <c r="R45" s="34"/>
      <c r="S45" s="34"/>
      <c r="T45" s="34"/>
      <c r="U45" s="34"/>
      <c r="V45" s="34"/>
    </row>
    <row r="46" spans="1:22" x14ac:dyDescent="0.2">
      <c r="A46" s="91" t="s">
        <v>233</v>
      </c>
      <c r="C46" s="41"/>
      <c r="D46" s="19"/>
      <c r="E46" s="80"/>
      <c r="F46" s="19"/>
      <c r="G46" s="76">
        <f>'10 14 2018'!G44*1.025</f>
        <v>1.7700032934514152</v>
      </c>
      <c r="H46" s="42" t="s">
        <v>53</v>
      </c>
      <c r="I46" s="37"/>
      <c r="J46" s="37"/>
    </row>
    <row r="47" spans="1:22" x14ac:dyDescent="0.2">
      <c r="A47" s="19" t="s">
        <v>234</v>
      </c>
      <c r="C47" s="41"/>
      <c r="D47" s="19"/>
      <c r="E47" s="80"/>
      <c r="F47" s="19"/>
      <c r="G47" s="19"/>
      <c r="H47" s="37"/>
      <c r="I47" s="37"/>
      <c r="J47" s="37"/>
    </row>
    <row r="48" spans="1:22" x14ac:dyDescent="0.2">
      <c r="A48" s="2" t="s">
        <v>215</v>
      </c>
      <c r="C48" s="41"/>
      <c r="D48" s="19"/>
      <c r="E48" s="80"/>
      <c r="F48" s="19"/>
      <c r="G48" s="19"/>
      <c r="H48" s="37"/>
      <c r="I48" s="37"/>
      <c r="J48" s="37"/>
    </row>
    <row r="49" spans="1:23" s="33" customFormat="1" x14ac:dyDescent="0.2">
      <c r="A49" s="20"/>
      <c r="E49" s="83"/>
      <c r="L49" s="34"/>
      <c r="M49" s="34"/>
      <c r="N49" s="34"/>
      <c r="O49" s="34"/>
      <c r="P49" s="34"/>
      <c r="Q49" s="34"/>
      <c r="R49" s="34"/>
      <c r="S49" s="34"/>
      <c r="T49" s="34"/>
      <c r="U49" s="34"/>
      <c r="V49" s="34"/>
    </row>
    <row r="50" spans="1:23" s="33" customFormat="1" x14ac:dyDescent="0.2">
      <c r="A50" s="20"/>
      <c r="E50" s="83"/>
      <c r="L50" s="34"/>
      <c r="M50" s="34"/>
      <c r="N50" s="34"/>
      <c r="O50" s="34"/>
      <c r="P50" s="34"/>
      <c r="Q50" s="34"/>
      <c r="R50" s="34"/>
      <c r="S50" s="34"/>
      <c r="T50" s="34"/>
      <c r="U50" s="34"/>
      <c r="V50" s="34"/>
    </row>
    <row r="51" spans="1:23" s="33" customFormat="1" x14ac:dyDescent="0.2">
      <c r="A51" s="43" t="s">
        <v>56</v>
      </c>
      <c r="B51" s="44"/>
      <c r="E51" s="83"/>
      <c r="L51" s="45"/>
      <c r="M51" s="34"/>
      <c r="N51" s="34"/>
      <c r="O51" s="34"/>
      <c r="P51" s="34"/>
      <c r="Q51" s="34"/>
      <c r="R51" s="34"/>
      <c r="S51" s="34"/>
      <c r="T51" s="34"/>
      <c r="U51" s="34"/>
      <c r="V51" s="34"/>
    </row>
    <row r="52" spans="1:23" s="33" customFormat="1" x14ac:dyDescent="0.2">
      <c r="A52" s="39" t="s">
        <v>227</v>
      </c>
      <c r="E52" s="83"/>
      <c r="M52" s="34"/>
      <c r="N52" s="34"/>
      <c r="O52" s="34"/>
      <c r="P52" s="34"/>
      <c r="Q52" s="34"/>
      <c r="R52" s="34"/>
      <c r="S52" s="34"/>
      <c r="T52" s="34"/>
      <c r="U52" s="34"/>
      <c r="V52" s="34"/>
      <c r="W52" s="34"/>
    </row>
    <row r="53" spans="1:23" s="33" customFormat="1" x14ac:dyDescent="0.2">
      <c r="A53" s="39" t="s">
        <v>58</v>
      </c>
      <c r="E53" s="83"/>
      <c r="M53" s="34"/>
      <c r="N53" s="34"/>
      <c r="O53" s="34"/>
      <c r="P53" s="34"/>
      <c r="Q53" s="34"/>
      <c r="R53" s="34"/>
      <c r="S53" s="34"/>
      <c r="T53" s="34"/>
      <c r="U53" s="34"/>
      <c r="V53" s="34"/>
      <c r="W53" s="34"/>
    </row>
    <row r="54" spans="1:23" s="33" customFormat="1" x14ac:dyDescent="0.2">
      <c r="A54" s="46">
        <f>'10 14 2018'!A52*1.025</f>
        <v>0.29500054890856925</v>
      </c>
      <c r="B54" s="33" t="s">
        <v>59</v>
      </c>
      <c r="E54" s="83"/>
      <c r="M54" s="45">
        <v>0.23699999999999999</v>
      </c>
      <c r="N54" s="34"/>
      <c r="O54" s="34"/>
      <c r="P54" s="34"/>
      <c r="Q54" s="34"/>
      <c r="R54" s="34"/>
      <c r="S54" s="34"/>
      <c r="T54" s="34"/>
      <c r="U54" s="34"/>
      <c r="V54" s="34"/>
      <c r="W54" s="34"/>
    </row>
    <row r="55" spans="1:23" s="33" customFormat="1" x14ac:dyDescent="0.2">
      <c r="A55" s="39" t="s">
        <v>60</v>
      </c>
      <c r="E55" s="83"/>
      <c r="M55" s="34"/>
      <c r="N55" s="34"/>
      <c r="O55" s="34"/>
      <c r="P55" s="34"/>
      <c r="Q55" s="34"/>
      <c r="R55" s="34"/>
      <c r="S55" s="34"/>
      <c r="T55" s="34"/>
      <c r="U55" s="34"/>
      <c r="V55" s="34"/>
      <c r="W55" s="34"/>
    </row>
    <row r="56" spans="1:23" s="33" customFormat="1" x14ac:dyDescent="0.2">
      <c r="A56" s="39" t="s">
        <v>61</v>
      </c>
      <c r="E56" s="83"/>
      <c r="M56" s="34"/>
      <c r="N56" s="34"/>
      <c r="O56" s="34"/>
      <c r="P56" s="34"/>
      <c r="Q56" s="34"/>
      <c r="R56" s="34"/>
      <c r="S56" s="34"/>
      <c r="T56" s="34"/>
      <c r="U56" s="34"/>
      <c r="V56" s="34"/>
      <c r="W56" s="34"/>
    </row>
    <row r="57" spans="1:23" s="33" customFormat="1" x14ac:dyDescent="0.2">
      <c r="A57" s="39" t="s">
        <v>62</v>
      </c>
      <c r="E57" s="83"/>
      <c r="M57" s="34"/>
      <c r="N57" s="34"/>
      <c r="O57" s="34"/>
      <c r="P57" s="34"/>
      <c r="Q57" s="34"/>
      <c r="R57" s="34"/>
      <c r="S57" s="34"/>
      <c r="T57" s="34"/>
      <c r="U57" s="34"/>
      <c r="V57" s="34"/>
      <c r="W57" s="34"/>
    </row>
    <row r="58" spans="1:23" s="33" customFormat="1" x14ac:dyDescent="0.2">
      <c r="A58" s="39" t="s">
        <v>63</v>
      </c>
      <c r="E58" s="83"/>
      <c r="M58" s="34"/>
      <c r="N58" s="34"/>
      <c r="O58" s="34"/>
      <c r="P58" s="34"/>
      <c r="Q58" s="34"/>
      <c r="R58" s="34"/>
      <c r="S58" s="34"/>
      <c r="T58" s="34"/>
      <c r="U58" s="34"/>
      <c r="V58" s="34"/>
      <c r="W58" s="34"/>
    </row>
    <row r="59" spans="1:23" s="33" customFormat="1" x14ac:dyDescent="0.2">
      <c r="A59" s="39"/>
      <c r="E59" s="83"/>
      <c r="L59" s="34"/>
      <c r="M59" s="34"/>
      <c r="N59" s="34"/>
      <c r="O59" s="34"/>
      <c r="P59" s="34"/>
      <c r="Q59" s="34"/>
      <c r="R59" s="34"/>
      <c r="S59" s="34"/>
      <c r="T59" s="34"/>
      <c r="U59" s="34"/>
      <c r="V59" s="34"/>
    </row>
    <row r="60" spans="1:23" s="33" customFormat="1" x14ac:dyDescent="0.2">
      <c r="A60" s="39" t="s">
        <v>64</v>
      </c>
      <c r="E60" s="83"/>
      <c r="L60" s="34"/>
      <c r="M60" s="34"/>
      <c r="N60" s="34"/>
      <c r="O60" s="34"/>
      <c r="P60" s="34"/>
      <c r="Q60" s="34"/>
      <c r="R60" s="34"/>
      <c r="S60" s="34"/>
      <c r="T60" s="34"/>
      <c r="U60" s="34"/>
      <c r="V60" s="34"/>
    </row>
    <row r="61" spans="1:23" s="33" customFormat="1" x14ac:dyDescent="0.2">
      <c r="A61" s="39" t="s">
        <v>65</v>
      </c>
      <c r="E61" s="83"/>
      <c r="L61" s="34"/>
      <c r="M61" s="34"/>
      <c r="N61" s="34"/>
      <c r="O61" s="34"/>
      <c r="P61" s="34"/>
      <c r="Q61" s="34"/>
      <c r="R61" s="34"/>
      <c r="S61" s="34"/>
      <c r="T61" s="34"/>
      <c r="U61" s="34"/>
      <c r="V61" s="34"/>
    </row>
    <row r="62" spans="1:23" s="33" customFormat="1" x14ac:dyDescent="0.2">
      <c r="A62" s="47" t="s">
        <v>66</v>
      </c>
      <c r="E62" s="83"/>
      <c r="F62" s="48">
        <f>'10 14 2018'!F60*1.025</f>
        <v>1.8439186309859461</v>
      </c>
      <c r="G62" s="19" t="s">
        <v>67</v>
      </c>
      <c r="L62" s="34"/>
      <c r="M62" s="34"/>
      <c r="N62" s="34"/>
      <c r="O62" s="34"/>
      <c r="P62" s="34"/>
      <c r="Q62" s="34"/>
      <c r="R62" s="34"/>
      <c r="S62" s="34"/>
      <c r="T62" s="34"/>
      <c r="U62" s="34"/>
      <c r="V62" s="34"/>
    </row>
    <row r="63" spans="1:23" s="33" customFormat="1" x14ac:dyDescent="0.2">
      <c r="A63" s="47" t="s">
        <v>68</v>
      </c>
      <c r="E63" s="83"/>
      <c r="F63" s="48">
        <f>'10 14 2018'!F61*1.025</f>
        <v>1.3263696679807528</v>
      </c>
      <c r="G63" s="19" t="s">
        <v>67</v>
      </c>
      <c r="L63" s="34"/>
      <c r="M63" s="34"/>
      <c r="N63" s="34"/>
      <c r="O63" s="34"/>
      <c r="P63" s="34"/>
      <c r="Q63" s="34"/>
      <c r="R63" s="34"/>
      <c r="S63" s="34"/>
      <c r="T63" s="34"/>
      <c r="U63" s="34"/>
      <c r="V63" s="34"/>
    </row>
    <row r="64" spans="1:23" x14ac:dyDescent="0.2">
      <c r="A64" s="47" t="s">
        <v>69</v>
      </c>
      <c r="B64" s="20"/>
      <c r="C64" s="19"/>
      <c r="D64" s="19"/>
      <c r="E64" s="80"/>
      <c r="F64" s="49">
        <f>'10 14 2018'!F62*1.025</f>
        <v>0.8846476460670174</v>
      </c>
      <c r="G64" s="19" t="s">
        <v>67</v>
      </c>
      <c r="H64" s="37"/>
      <c r="I64" s="37"/>
      <c r="J64" s="37"/>
      <c r="L64" s="50"/>
    </row>
    <row r="65" spans="1:12" x14ac:dyDescent="0.2">
      <c r="A65" s="39"/>
      <c r="B65" s="20"/>
      <c r="C65" s="19"/>
      <c r="D65" s="19"/>
      <c r="E65" s="80"/>
      <c r="H65" s="37"/>
      <c r="I65" s="37"/>
      <c r="J65" s="37"/>
      <c r="L65" s="50"/>
    </row>
    <row r="66" spans="1:12" x14ac:dyDescent="0.2">
      <c r="A66" s="43" t="s">
        <v>70</v>
      </c>
      <c r="B66" s="51"/>
      <c r="C66" s="19"/>
      <c r="D66" s="19"/>
      <c r="E66" s="80"/>
      <c r="H66" s="37"/>
      <c r="I66" s="37"/>
      <c r="J66" s="37"/>
      <c r="L66" s="50"/>
    </row>
    <row r="67" spans="1:12" x14ac:dyDescent="0.2">
      <c r="A67" s="18" t="s">
        <v>71</v>
      </c>
      <c r="B67" s="20"/>
      <c r="C67" s="19"/>
      <c r="D67" s="19"/>
      <c r="E67" s="80"/>
      <c r="F67" s="19"/>
      <c r="G67" s="19"/>
      <c r="H67" s="37"/>
      <c r="I67" s="37"/>
      <c r="J67" s="37"/>
    </row>
    <row r="68" spans="1:12" x14ac:dyDescent="0.2">
      <c r="A68" s="18" t="s">
        <v>72</v>
      </c>
      <c r="B68" s="20"/>
      <c r="C68" s="19"/>
      <c r="D68" s="19"/>
      <c r="E68" s="80"/>
      <c r="F68" s="19"/>
      <c r="G68" s="19"/>
      <c r="H68" s="37"/>
      <c r="I68" s="37"/>
      <c r="J68" s="37"/>
    </row>
    <row r="69" spans="1:12" x14ac:dyDescent="0.2">
      <c r="A69" s="52">
        <f>'10 14 2018'!A67</f>
        <v>0.7605256846041093</v>
      </c>
      <c r="B69" s="39" t="s">
        <v>73</v>
      </c>
      <c r="C69" s="19"/>
      <c r="D69" s="19"/>
      <c r="E69" s="80"/>
      <c r="F69" s="19"/>
      <c r="G69" s="19"/>
      <c r="H69" s="37"/>
      <c r="I69" s="37"/>
      <c r="J69" s="37"/>
    </row>
    <row r="70" spans="1:12" x14ac:dyDescent="0.2">
      <c r="A70" s="18" t="s">
        <v>74</v>
      </c>
      <c r="B70" s="20"/>
      <c r="C70" s="19"/>
      <c r="D70" s="19"/>
      <c r="E70" s="80"/>
      <c r="F70" s="19"/>
      <c r="G70" s="19"/>
      <c r="H70" s="53"/>
      <c r="I70" s="37"/>
      <c r="J70" s="37"/>
    </row>
    <row r="71" spans="1:12" x14ac:dyDescent="0.2">
      <c r="A71" s="52">
        <f>'10 14 2018'!A69</f>
        <v>0.7605256846041093</v>
      </c>
      <c r="B71" s="18" t="s">
        <v>75</v>
      </c>
      <c r="C71" s="19"/>
      <c r="D71" s="19"/>
      <c r="E71" s="80"/>
      <c r="F71" s="19"/>
      <c r="G71" s="19"/>
      <c r="I71" s="37"/>
      <c r="J71" s="37"/>
      <c r="L71" s="50"/>
    </row>
    <row r="72" spans="1:12" x14ac:dyDescent="0.2">
      <c r="A72" s="18" t="s">
        <v>76</v>
      </c>
      <c r="B72" s="20"/>
      <c r="C72" s="19"/>
      <c r="D72" s="19"/>
      <c r="E72" s="80"/>
      <c r="F72" s="19"/>
      <c r="G72" s="19"/>
      <c r="I72" s="37"/>
      <c r="J72" s="37"/>
      <c r="L72" s="50"/>
    </row>
    <row r="73" spans="1:12" x14ac:dyDescent="0.2">
      <c r="A73" s="18" t="s">
        <v>77</v>
      </c>
      <c r="B73" s="20"/>
      <c r="C73" s="19"/>
      <c r="D73" s="19"/>
      <c r="E73" s="80"/>
      <c r="F73" s="19"/>
      <c r="G73" s="19"/>
      <c r="H73" s="37"/>
      <c r="I73" s="37"/>
      <c r="J73" s="37"/>
    </row>
    <row r="74" spans="1:12" x14ac:dyDescent="0.2">
      <c r="A74" s="54">
        <f>'10 14 2018'!A72</f>
        <v>0.76100000000000001</v>
      </c>
      <c r="B74" s="19" t="s">
        <v>78</v>
      </c>
      <c r="E74" s="80"/>
      <c r="F74" s="19"/>
      <c r="G74" s="19"/>
      <c r="H74" s="37"/>
      <c r="I74" s="37"/>
      <c r="J74" s="37"/>
    </row>
    <row r="75" spans="1:12" x14ac:dyDescent="0.2">
      <c r="A75" s="18"/>
      <c r="B75" s="20"/>
      <c r="C75" s="19"/>
      <c r="D75" s="19"/>
      <c r="E75" s="80"/>
      <c r="F75" s="19"/>
      <c r="G75" s="19"/>
      <c r="H75" s="37"/>
      <c r="I75" s="37"/>
      <c r="J75" s="37"/>
    </row>
    <row r="76" spans="1:12" x14ac:dyDescent="0.2">
      <c r="G76" s="19"/>
      <c r="H76" s="37"/>
      <c r="I76" s="37"/>
      <c r="J76" s="37"/>
      <c r="L76" s="50"/>
    </row>
    <row r="77" spans="1:12" x14ac:dyDescent="0.2">
      <c r="A77" s="43" t="s">
        <v>79</v>
      </c>
      <c r="B77" s="51"/>
      <c r="C77" s="49">
        <v>0.7605256846041093</v>
      </c>
      <c r="D77" s="19" t="s">
        <v>206</v>
      </c>
      <c r="E77" s="80"/>
      <c r="F77" s="19"/>
      <c r="G77" s="19"/>
      <c r="H77" s="37"/>
      <c r="I77" s="55" t="s">
        <v>80</v>
      </c>
      <c r="J77" s="37"/>
      <c r="L77" s="50"/>
    </row>
    <row r="78" spans="1:12" x14ac:dyDescent="0.2">
      <c r="A78" s="39" t="s">
        <v>81</v>
      </c>
      <c r="B78" s="20"/>
      <c r="C78" s="19"/>
      <c r="D78" s="19"/>
      <c r="E78" s="80"/>
      <c r="F78" s="19"/>
      <c r="G78" s="19"/>
      <c r="H78" s="37"/>
      <c r="I78" s="37"/>
      <c r="J78" s="19"/>
    </row>
    <row r="79" spans="1:12" x14ac:dyDescent="0.2">
      <c r="A79" s="39"/>
      <c r="B79" s="20"/>
      <c r="C79" s="19"/>
      <c r="D79" s="19"/>
      <c r="E79" s="80"/>
      <c r="F79" s="19"/>
      <c r="G79" s="19"/>
    </row>
    <row r="80" spans="1:12" x14ac:dyDescent="0.2">
      <c r="A80" s="56" t="s">
        <v>82</v>
      </c>
      <c r="B80" s="20"/>
      <c r="C80" s="19"/>
      <c r="D80" s="19"/>
      <c r="E80" s="80"/>
      <c r="F80" s="19"/>
      <c r="G80" s="19"/>
      <c r="H80" s="55" t="s">
        <v>83</v>
      </c>
      <c r="I80" s="54">
        <f>$C$77</f>
        <v>0.7605256846041093</v>
      </c>
      <c r="J80" s="2" t="s">
        <v>84</v>
      </c>
    </row>
    <row r="81" spans="1:23" x14ac:dyDescent="0.2">
      <c r="A81" s="57" t="s">
        <v>85</v>
      </c>
      <c r="B81" s="19"/>
      <c r="D81" s="19"/>
      <c r="E81" s="80"/>
      <c r="F81" s="19"/>
      <c r="G81" s="19"/>
      <c r="H81" s="58"/>
      <c r="I81" s="33"/>
      <c r="J81" s="33"/>
    </row>
    <row r="82" spans="1:23" s="33" customFormat="1" x14ac:dyDescent="0.2">
      <c r="A82" s="57" t="s">
        <v>86</v>
      </c>
      <c r="B82" s="20"/>
      <c r="C82" s="19"/>
      <c r="D82" s="19"/>
      <c r="E82" s="80"/>
      <c r="F82" s="19"/>
      <c r="G82" s="19"/>
      <c r="H82" s="58"/>
      <c r="L82" s="34"/>
      <c r="M82" s="34"/>
      <c r="N82" s="34"/>
      <c r="O82" s="34"/>
      <c r="P82" s="34"/>
      <c r="Q82" s="34"/>
      <c r="R82" s="34"/>
      <c r="S82" s="34"/>
      <c r="T82" s="34"/>
      <c r="U82" s="34"/>
      <c r="V82" s="34"/>
    </row>
    <row r="83" spans="1:23" s="33" customFormat="1" x14ac:dyDescent="0.2">
      <c r="A83" s="39" t="s">
        <v>87</v>
      </c>
      <c r="E83" s="83"/>
      <c r="H83" s="55"/>
      <c r="I83" s="37"/>
      <c r="J83" s="37"/>
      <c r="L83" s="34"/>
      <c r="M83" s="34"/>
      <c r="N83" s="34"/>
      <c r="O83" s="34"/>
      <c r="P83" s="34"/>
      <c r="Q83" s="34"/>
      <c r="R83" s="34"/>
      <c r="S83" s="34"/>
      <c r="T83" s="34"/>
      <c r="U83" s="34"/>
      <c r="V83" s="34"/>
    </row>
    <row r="84" spans="1:23" s="33" customFormat="1" x14ac:dyDescent="0.2">
      <c r="A84" s="39"/>
      <c r="E84" s="83"/>
      <c r="H84" s="55"/>
      <c r="I84" s="37"/>
      <c r="J84" s="37"/>
      <c r="L84" s="34"/>
      <c r="M84" s="34"/>
      <c r="N84" s="34"/>
      <c r="O84" s="34"/>
      <c r="P84" s="34"/>
      <c r="Q84" s="34"/>
      <c r="R84" s="34"/>
      <c r="S84" s="34"/>
      <c r="T84" s="34"/>
      <c r="U84" s="34"/>
      <c r="V84" s="34"/>
    </row>
    <row r="85" spans="1:23" x14ac:dyDescent="0.2">
      <c r="A85" s="39" t="s">
        <v>88</v>
      </c>
      <c r="B85" s="33"/>
      <c r="C85" s="33"/>
      <c r="D85" s="33"/>
      <c r="E85" s="83"/>
      <c r="F85" s="33"/>
      <c r="G85" s="33"/>
      <c r="H85" s="55" t="s">
        <v>89</v>
      </c>
      <c r="I85" s="54">
        <f>$C$77*2</f>
        <v>1.5210513692082186</v>
      </c>
      <c r="J85" s="2" t="s">
        <v>84</v>
      </c>
      <c r="L85" s="60"/>
    </row>
    <row r="86" spans="1:23" s="33" customFormat="1" x14ac:dyDescent="0.2">
      <c r="A86" s="57" t="s">
        <v>207</v>
      </c>
      <c r="B86" s="20"/>
      <c r="C86" s="19"/>
      <c r="D86" s="19"/>
      <c r="E86" s="80"/>
      <c r="F86" s="19"/>
      <c r="G86" s="19"/>
      <c r="H86" s="58"/>
      <c r="L86" s="34"/>
      <c r="M86" s="34"/>
      <c r="N86" s="34"/>
      <c r="O86" s="34"/>
      <c r="P86" s="34"/>
      <c r="Q86" s="34"/>
      <c r="R86" s="34"/>
      <c r="S86" s="34"/>
      <c r="T86" s="34"/>
      <c r="U86" s="34"/>
      <c r="V86" s="34"/>
    </row>
    <row r="87" spans="1:23" s="33" customFormat="1" x14ac:dyDescent="0.2">
      <c r="A87" s="39"/>
      <c r="E87" s="83"/>
      <c r="H87" s="1"/>
      <c r="I87" s="2"/>
      <c r="J87" s="2"/>
      <c r="L87" s="34"/>
      <c r="M87" s="34"/>
      <c r="N87" s="34"/>
      <c r="O87" s="34"/>
      <c r="P87" s="34"/>
      <c r="Q87" s="34"/>
      <c r="R87" s="34"/>
      <c r="S87" s="34"/>
      <c r="T87" s="34"/>
      <c r="U87" s="34"/>
      <c r="V87" s="34"/>
    </row>
    <row r="88" spans="1:23" x14ac:dyDescent="0.2">
      <c r="A88" s="59" t="s">
        <v>93</v>
      </c>
      <c r="B88" s="33"/>
      <c r="C88" s="33"/>
      <c r="D88" s="33"/>
      <c r="E88" s="83"/>
      <c r="F88" s="33"/>
      <c r="G88" s="33"/>
      <c r="H88" s="55" t="s">
        <v>94</v>
      </c>
      <c r="I88" s="54">
        <f>$C$77*3</f>
        <v>2.2815770538123279</v>
      </c>
      <c r="J88" s="2" t="s">
        <v>84</v>
      </c>
      <c r="L88" s="60"/>
    </row>
    <row r="89" spans="1:23" s="33" customFormat="1" x14ac:dyDescent="0.2">
      <c r="A89" s="57" t="s">
        <v>208</v>
      </c>
      <c r="B89" s="20"/>
      <c r="C89" s="19"/>
      <c r="D89" s="19"/>
      <c r="E89" s="80"/>
      <c r="F89" s="19"/>
      <c r="G89" s="19"/>
      <c r="H89" s="58"/>
      <c r="L89" s="34"/>
      <c r="M89" s="34"/>
      <c r="N89" s="34"/>
      <c r="O89" s="34"/>
      <c r="P89" s="34"/>
      <c r="Q89" s="34"/>
      <c r="R89" s="34"/>
      <c r="S89" s="34"/>
      <c r="T89" s="34"/>
      <c r="U89" s="34"/>
      <c r="V89" s="34"/>
    </row>
    <row r="90" spans="1:23" s="33" customFormat="1" x14ac:dyDescent="0.2">
      <c r="A90" s="19"/>
      <c r="E90" s="83"/>
      <c r="H90" s="1"/>
      <c r="I90" s="2"/>
      <c r="J90" s="2"/>
      <c r="L90" s="34"/>
      <c r="M90" s="34"/>
      <c r="N90" s="34"/>
      <c r="O90" s="34"/>
      <c r="P90" s="34"/>
      <c r="Q90" s="34"/>
      <c r="R90" s="34"/>
      <c r="S90" s="34"/>
      <c r="T90" s="34"/>
      <c r="U90" s="34"/>
      <c r="V90" s="34"/>
    </row>
    <row r="91" spans="1:23" s="5" customFormat="1" x14ac:dyDescent="0.2">
      <c r="A91" s="59" t="s">
        <v>96</v>
      </c>
      <c r="B91" s="33"/>
      <c r="C91" s="33"/>
      <c r="D91" s="33"/>
      <c r="E91" s="83"/>
      <c r="F91" s="33"/>
      <c r="G91" s="33"/>
      <c r="H91" s="55" t="s">
        <v>97</v>
      </c>
      <c r="I91" s="54">
        <f>$C$77*4</f>
        <v>3.0421027384164372</v>
      </c>
      <c r="J91" s="2" t="s">
        <v>84</v>
      </c>
      <c r="K91" s="2"/>
      <c r="L91" s="60"/>
      <c r="W91" s="2"/>
    </row>
    <row r="92" spans="1:23" s="5" customFormat="1" x14ac:dyDescent="0.2">
      <c r="A92" s="57" t="s">
        <v>209</v>
      </c>
      <c r="B92" s="20"/>
      <c r="C92" s="39"/>
      <c r="D92" s="19"/>
      <c r="E92" s="80"/>
      <c r="F92" s="19"/>
      <c r="G92" s="19"/>
      <c r="H92" s="55"/>
      <c r="I92" s="61"/>
      <c r="J92" s="2"/>
      <c r="K92" s="2"/>
      <c r="L92" s="60"/>
      <c r="W92" s="2"/>
    </row>
    <row r="93" spans="1:23" s="5" customFormat="1" x14ac:dyDescent="0.2">
      <c r="A93" s="57"/>
      <c r="B93" s="20"/>
      <c r="C93" s="39"/>
      <c r="D93" s="19"/>
      <c r="E93" s="80"/>
      <c r="F93" s="19"/>
      <c r="G93" s="19"/>
      <c r="H93" s="55"/>
      <c r="I93" s="61"/>
      <c r="J93" s="2"/>
      <c r="K93" s="2"/>
      <c r="L93" s="60"/>
      <c r="W93" s="2"/>
    </row>
    <row r="94" spans="1:23" s="5" customFormat="1" x14ac:dyDescent="0.2">
      <c r="A94" s="43" t="s">
        <v>210</v>
      </c>
      <c r="B94" s="33"/>
      <c r="C94" s="33"/>
      <c r="D94" s="33"/>
      <c r="E94" s="83"/>
      <c r="F94" s="33"/>
      <c r="G94" s="33"/>
      <c r="H94" s="55"/>
      <c r="I94" s="61"/>
      <c r="J94" s="2"/>
      <c r="K94" s="2"/>
      <c r="L94" s="60"/>
      <c r="W94" s="2"/>
    </row>
    <row r="95" spans="1:23" s="5" customFormat="1" x14ac:dyDescent="0.2">
      <c r="A95" s="101" t="s">
        <v>211</v>
      </c>
      <c r="B95" s="33"/>
      <c r="C95" s="33"/>
      <c r="D95" s="33"/>
      <c r="E95" s="83"/>
      <c r="F95" s="33"/>
      <c r="G95" s="33"/>
      <c r="H95" s="55"/>
      <c r="I95" s="61"/>
      <c r="J95" s="2"/>
      <c r="K95" s="2"/>
      <c r="L95" s="60"/>
      <c r="W95" s="2"/>
    </row>
    <row r="96" spans="1:23" s="5" customFormat="1" x14ac:dyDescent="0.2">
      <c r="A96" s="19" t="s">
        <v>102</v>
      </c>
      <c r="B96" s="33"/>
      <c r="C96" s="33"/>
      <c r="D96" s="33"/>
      <c r="E96" s="83"/>
      <c r="F96" s="33"/>
      <c r="G96" s="33"/>
      <c r="H96" s="55"/>
      <c r="I96" s="61"/>
      <c r="J96" s="2"/>
      <c r="K96" s="2"/>
      <c r="L96" s="60"/>
      <c r="W96" s="2"/>
    </row>
    <row r="97" spans="1:23" s="5" customFormat="1" x14ac:dyDescent="0.2">
      <c r="A97" s="19" t="s">
        <v>103</v>
      </c>
      <c r="B97" s="33"/>
      <c r="C97" s="33"/>
      <c r="D97" s="33"/>
      <c r="E97" s="83"/>
      <c r="F97" s="33"/>
      <c r="G97" s="33"/>
      <c r="H97" s="55"/>
      <c r="I97" s="61"/>
      <c r="J97" s="2"/>
      <c r="K97" s="2"/>
      <c r="L97" s="60"/>
      <c r="W97" s="2"/>
    </row>
    <row r="98" spans="1:23" s="5" customFormat="1" x14ac:dyDescent="0.2">
      <c r="A98" s="19" t="s">
        <v>104</v>
      </c>
      <c r="B98" s="33"/>
      <c r="C98" s="33"/>
      <c r="D98" s="33"/>
      <c r="E98" s="83"/>
      <c r="F98" s="33"/>
      <c r="G98" s="33"/>
      <c r="H98" s="55"/>
      <c r="I98" s="61"/>
      <c r="J98" s="2"/>
      <c r="K98" s="2"/>
      <c r="L98" s="60"/>
      <c r="W98" s="2"/>
    </row>
    <row r="99" spans="1:23" s="5" customFormat="1" x14ac:dyDescent="0.2">
      <c r="A99" s="19" t="s">
        <v>216</v>
      </c>
      <c r="B99" s="33"/>
      <c r="C99" s="33"/>
      <c r="D99" s="33"/>
      <c r="E99" s="83"/>
      <c r="F99" s="33"/>
      <c r="G99" s="33"/>
      <c r="H99" s="55"/>
      <c r="I99" s="61"/>
      <c r="J99" s="2"/>
      <c r="K99" s="2"/>
      <c r="L99" s="60"/>
      <c r="W99" s="2"/>
    </row>
    <row r="100" spans="1:23" s="5" customFormat="1" ht="13.5" customHeight="1" x14ac:dyDescent="0.2">
      <c r="A100" s="19"/>
      <c r="B100" s="33"/>
      <c r="C100" s="33"/>
      <c r="D100" s="33"/>
      <c r="E100" s="83"/>
      <c r="F100" s="33"/>
      <c r="G100" s="33"/>
      <c r="H100" s="55"/>
      <c r="I100" s="61"/>
      <c r="J100" s="2"/>
      <c r="K100" s="2"/>
      <c r="L100" s="60"/>
    </row>
    <row r="101" spans="1:23" s="5" customFormat="1" ht="13.5" customHeight="1" x14ac:dyDescent="0.2">
      <c r="A101" s="59" t="s">
        <v>106</v>
      </c>
      <c r="B101" s="33"/>
      <c r="C101" s="33"/>
      <c r="D101" s="33"/>
      <c r="E101" s="83"/>
      <c r="F101" s="33"/>
      <c r="G101" s="33"/>
      <c r="H101" s="55" t="s">
        <v>107</v>
      </c>
      <c r="I101" s="54">
        <f>$C$77*5</f>
        <v>3.8026284230205465</v>
      </c>
      <c r="J101" s="2" t="s">
        <v>84</v>
      </c>
      <c r="K101" s="2"/>
      <c r="L101" s="60"/>
    </row>
    <row r="102" spans="1:23" s="5" customFormat="1" ht="13.5" customHeight="1" x14ac:dyDescent="0.2">
      <c r="A102" s="57" t="s">
        <v>212</v>
      </c>
      <c r="B102" s="33"/>
      <c r="C102" s="33"/>
      <c r="D102" s="33"/>
      <c r="E102" s="83"/>
      <c r="F102" s="33"/>
      <c r="G102" s="33"/>
      <c r="H102" s="55"/>
      <c r="I102" s="61"/>
      <c r="J102" s="2"/>
      <c r="K102" s="2"/>
      <c r="L102" s="60"/>
    </row>
    <row r="103" spans="1:23" s="5" customFormat="1" ht="12.75" customHeight="1" x14ac:dyDescent="0.2">
      <c r="A103" s="19"/>
      <c r="B103" s="33"/>
      <c r="C103" s="33"/>
      <c r="D103" s="33"/>
      <c r="E103" s="83"/>
      <c r="F103" s="33"/>
      <c r="G103" s="33"/>
      <c r="H103" s="55"/>
      <c r="I103" s="61"/>
      <c r="J103" s="2"/>
      <c r="K103" s="2"/>
      <c r="L103" s="60"/>
    </row>
    <row r="104" spans="1:23" s="5" customFormat="1" x14ac:dyDescent="0.2">
      <c r="A104" s="59" t="s">
        <v>109</v>
      </c>
      <c r="B104" s="33"/>
      <c r="C104" s="33"/>
      <c r="D104" s="33"/>
      <c r="E104" s="83"/>
      <c r="F104" s="33"/>
      <c r="G104" s="33"/>
      <c r="H104" s="55" t="s">
        <v>110</v>
      </c>
      <c r="I104" s="54">
        <f>$C$77*6</f>
        <v>4.5631541076246558</v>
      </c>
      <c r="J104" s="2" t="s">
        <v>84</v>
      </c>
      <c r="K104" s="2"/>
      <c r="L104" s="60"/>
    </row>
    <row r="105" spans="1:23" s="5" customFormat="1" x14ac:dyDescent="0.2">
      <c r="A105" s="57" t="s">
        <v>213</v>
      </c>
      <c r="B105" s="33"/>
      <c r="C105" s="33"/>
      <c r="D105" s="33"/>
      <c r="E105" s="83"/>
      <c r="F105" s="33"/>
      <c r="G105" s="33"/>
      <c r="H105" s="55" t="s">
        <v>112</v>
      </c>
      <c r="I105" s="61"/>
      <c r="J105" s="2"/>
      <c r="K105" s="2"/>
      <c r="L105" s="60"/>
    </row>
    <row r="106" spans="1:23" s="5" customFormat="1" x14ac:dyDescent="0.2">
      <c r="A106" s="19"/>
      <c r="B106" s="33"/>
      <c r="C106" s="33"/>
      <c r="D106" s="33"/>
      <c r="E106" s="83"/>
      <c r="F106" s="33"/>
      <c r="G106" s="33"/>
      <c r="H106" s="55"/>
      <c r="I106" s="61"/>
      <c r="J106" s="2"/>
      <c r="K106" s="2"/>
      <c r="L106" s="60"/>
    </row>
    <row r="107" spans="1:23" s="5" customFormat="1" x14ac:dyDescent="0.2">
      <c r="A107" s="59" t="s">
        <v>113</v>
      </c>
      <c r="B107" s="33"/>
      <c r="C107" s="33"/>
      <c r="D107" s="33"/>
      <c r="E107" s="83"/>
      <c r="F107" s="33"/>
      <c r="G107" s="33"/>
      <c r="H107" s="55" t="s">
        <v>114</v>
      </c>
      <c r="I107" s="54">
        <f>$C$77*7</f>
        <v>5.3236797922287646</v>
      </c>
      <c r="J107" s="2" t="s">
        <v>84</v>
      </c>
      <c r="K107" s="2"/>
      <c r="L107" s="60"/>
    </row>
    <row r="108" spans="1:23" s="5" customFormat="1" x14ac:dyDescent="0.2">
      <c r="A108" s="57" t="s">
        <v>235</v>
      </c>
      <c r="B108" s="33"/>
      <c r="C108" s="33"/>
      <c r="D108" s="33"/>
      <c r="E108" s="83"/>
      <c r="F108" s="33"/>
      <c r="G108" s="33"/>
      <c r="K108" s="2"/>
      <c r="L108" s="60"/>
    </row>
    <row r="109" spans="1:23" s="5" customFormat="1" x14ac:dyDescent="0.2">
      <c r="A109" s="19"/>
      <c r="B109" s="33"/>
      <c r="C109" s="33"/>
      <c r="D109" s="33"/>
      <c r="E109" s="83"/>
      <c r="F109" s="33"/>
      <c r="G109" s="33"/>
      <c r="K109" s="2"/>
      <c r="L109" s="60"/>
    </row>
    <row r="110" spans="1:23" s="5" customFormat="1" x14ac:dyDescent="0.2">
      <c r="A110" s="19"/>
      <c r="B110" s="33"/>
      <c r="C110" s="33"/>
      <c r="D110" s="33"/>
      <c r="E110" s="83"/>
      <c r="F110" s="33"/>
      <c r="G110" s="33"/>
      <c r="K110" s="2"/>
      <c r="L110" s="60"/>
    </row>
    <row r="111" spans="1:23" s="5" customFormat="1" x14ac:dyDescent="0.2">
      <c r="A111" s="19"/>
      <c r="B111" s="33"/>
      <c r="C111" s="33"/>
      <c r="D111" s="33"/>
      <c r="E111" s="83"/>
      <c r="F111" s="33"/>
      <c r="G111" s="33"/>
      <c r="K111" s="2"/>
      <c r="L111" s="60"/>
    </row>
    <row r="112" spans="1:23" s="5" customFormat="1" x14ac:dyDescent="0.2">
      <c r="A112" s="19"/>
      <c r="B112" s="33"/>
      <c r="C112" s="33"/>
      <c r="D112" s="33"/>
      <c r="E112" s="83"/>
      <c r="F112" s="33"/>
      <c r="G112" s="33"/>
      <c r="H112" s="37"/>
      <c r="I112" s="61"/>
      <c r="J112" s="2"/>
      <c r="K112" s="2"/>
      <c r="L112" s="60"/>
    </row>
    <row r="113" spans="1:11" s="5" customFormat="1" x14ac:dyDescent="0.2">
      <c r="A113" s="19"/>
      <c r="B113" s="20"/>
      <c r="C113" s="39" t="s">
        <v>116</v>
      </c>
      <c r="D113" s="19"/>
      <c r="E113" s="80"/>
      <c r="F113" s="19"/>
      <c r="G113" s="19" t="s">
        <v>117</v>
      </c>
      <c r="H113" s="37"/>
      <c r="I113" s="37"/>
      <c r="J113" s="37"/>
      <c r="K113" s="2"/>
    </row>
    <row r="114" spans="1:11" s="5" customFormat="1" x14ac:dyDescent="0.2">
      <c r="A114" s="19"/>
      <c r="B114" s="20"/>
      <c r="C114" s="39" t="s">
        <v>118</v>
      </c>
      <c r="D114" s="19"/>
      <c r="E114" s="80"/>
      <c r="F114" s="19"/>
      <c r="G114" s="19" t="s">
        <v>119</v>
      </c>
      <c r="H114" s="37"/>
      <c r="I114" s="37"/>
      <c r="J114" s="37"/>
      <c r="K114" s="2"/>
    </row>
    <row r="115" spans="1:11" s="5" customFormat="1" x14ac:dyDescent="0.2">
      <c r="A115" s="19"/>
      <c r="B115" s="20"/>
      <c r="C115" s="39" t="s">
        <v>120</v>
      </c>
      <c r="D115" s="19"/>
      <c r="E115" s="80"/>
      <c r="F115" s="19"/>
      <c r="G115" s="19" t="s">
        <v>121</v>
      </c>
      <c r="H115" s="37"/>
      <c r="I115" s="37"/>
      <c r="J115" s="37"/>
      <c r="K115" s="2"/>
    </row>
    <row r="116" spans="1:11" s="5" customFormat="1" x14ac:dyDescent="0.2">
      <c r="A116" s="19"/>
      <c r="B116" s="20"/>
      <c r="C116" s="39" t="s">
        <v>122</v>
      </c>
      <c r="D116" s="19"/>
      <c r="E116" s="80"/>
      <c r="F116" s="19"/>
      <c r="G116" s="19" t="s">
        <v>123</v>
      </c>
      <c r="H116" s="37"/>
      <c r="I116" s="37"/>
      <c r="J116" s="37"/>
      <c r="K116" s="2"/>
    </row>
    <row r="117" spans="1:11" s="5" customFormat="1" x14ac:dyDescent="0.2">
      <c r="A117" s="39"/>
      <c r="B117" s="20"/>
      <c r="C117" s="39" t="s">
        <v>124</v>
      </c>
      <c r="D117" s="19"/>
      <c r="E117" s="80"/>
      <c r="F117" s="19"/>
      <c r="G117" s="19" t="s">
        <v>125</v>
      </c>
      <c r="H117" s="37"/>
      <c r="I117" s="37"/>
      <c r="J117" s="37"/>
      <c r="K117" s="2"/>
    </row>
    <row r="118" spans="1:11" s="5" customFormat="1" x14ac:dyDescent="0.2">
      <c r="A118" s="39"/>
      <c r="B118" s="20"/>
      <c r="C118" s="39" t="s">
        <v>126</v>
      </c>
      <c r="D118" s="19"/>
      <c r="E118" s="80"/>
      <c r="F118" s="19"/>
      <c r="G118" s="19" t="s">
        <v>127</v>
      </c>
      <c r="H118" s="37"/>
      <c r="I118" s="37"/>
      <c r="J118" s="37"/>
      <c r="K118" s="2"/>
    </row>
    <row r="119" spans="1:11" s="5" customFormat="1" x14ac:dyDescent="0.2">
      <c r="A119" s="39"/>
      <c r="B119" s="20"/>
      <c r="C119" s="19" t="s">
        <v>128</v>
      </c>
      <c r="D119" s="19"/>
      <c r="E119" s="80"/>
      <c r="F119" s="19"/>
      <c r="G119" s="19" t="s">
        <v>129</v>
      </c>
      <c r="H119" s="37"/>
      <c r="I119" s="37"/>
      <c r="J119" s="37"/>
      <c r="K119" s="2"/>
    </row>
    <row r="120" spans="1:11" s="5" customFormat="1" x14ac:dyDescent="0.2">
      <c r="A120" s="39"/>
      <c r="B120" s="20"/>
      <c r="C120" s="19" t="s">
        <v>130</v>
      </c>
      <c r="D120" s="19"/>
      <c r="E120" s="80"/>
      <c r="F120" s="19"/>
      <c r="G120" s="19" t="s">
        <v>131</v>
      </c>
      <c r="H120" s="37"/>
      <c r="I120" s="37"/>
      <c r="J120" s="37"/>
      <c r="K120" s="2"/>
    </row>
    <row r="121" spans="1:11" s="5" customFormat="1" x14ac:dyDescent="0.2">
      <c r="A121" s="39"/>
      <c r="B121" s="20"/>
      <c r="C121" s="19"/>
      <c r="D121" s="19"/>
      <c r="E121" s="80"/>
      <c r="F121" s="19"/>
      <c r="G121" s="19"/>
      <c r="H121" s="37"/>
      <c r="I121" s="37"/>
      <c r="J121" s="37"/>
      <c r="K121" s="2"/>
    </row>
    <row r="122" spans="1:11" s="5" customFormat="1" x14ac:dyDescent="0.2">
      <c r="A122" s="39"/>
      <c r="B122" s="20"/>
      <c r="C122" s="19" t="s">
        <v>132</v>
      </c>
      <c r="D122" s="19"/>
      <c r="E122" s="80"/>
      <c r="F122" s="19"/>
      <c r="G122" s="19" t="s">
        <v>133</v>
      </c>
      <c r="H122" s="37"/>
      <c r="I122" s="37"/>
      <c r="J122" s="37"/>
      <c r="K122" s="2"/>
    </row>
    <row r="123" spans="1:11" s="5" customFormat="1" x14ac:dyDescent="0.2">
      <c r="A123" s="39"/>
      <c r="B123" s="20"/>
      <c r="C123" s="19" t="s">
        <v>134</v>
      </c>
      <c r="D123" s="19"/>
      <c r="E123" s="80"/>
      <c r="F123" s="19"/>
      <c r="G123" s="19" t="s">
        <v>135</v>
      </c>
      <c r="H123" s="37"/>
      <c r="I123" s="37"/>
      <c r="J123" s="37"/>
      <c r="K123" s="2"/>
    </row>
    <row r="124" spans="1:11" s="5" customFormat="1" x14ac:dyDescent="0.2">
      <c r="A124" s="39"/>
      <c r="B124" s="20"/>
      <c r="C124" s="19" t="s">
        <v>136</v>
      </c>
      <c r="D124" s="19"/>
      <c r="E124" s="80"/>
      <c r="F124" s="19"/>
      <c r="G124" s="19" t="s">
        <v>137</v>
      </c>
      <c r="H124" s="37"/>
      <c r="I124" s="37"/>
      <c r="J124" s="37"/>
      <c r="K124" s="2"/>
    </row>
    <row r="125" spans="1:11" s="5" customFormat="1" x14ac:dyDescent="0.2">
      <c r="A125" s="39"/>
      <c r="B125" s="20"/>
      <c r="C125" s="19"/>
      <c r="D125" s="19"/>
      <c r="E125" s="80"/>
      <c r="F125" s="19"/>
      <c r="G125" s="19" t="s">
        <v>138</v>
      </c>
      <c r="H125" s="37"/>
      <c r="I125" s="37"/>
      <c r="J125" s="37"/>
      <c r="K125" s="2"/>
    </row>
    <row r="126" spans="1:11" s="5" customFormat="1" x14ac:dyDescent="0.2">
      <c r="A126" s="39"/>
      <c r="B126" s="20"/>
      <c r="C126" s="19"/>
      <c r="D126" s="19"/>
      <c r="E126" s="80"/>
      <c r="F126" s="19"/>
      <c r="G126" s="19"/>
      <c r="H126" s="37"/>
      <c r="I126" s="37"/>
      <c r="J126" s="37"/>
      <c r="K126" s="2"/>
    </row>
    <row r="127" spans="1:11" s="5" customFormat="1" x14ac:dyDescent="0.2">
      <c r="A127" s="39"/>
      <c r="B127" s="20"/>
      <c r="C127" s="19"/>
      <c r="D127" s="19"/>
      <c r="E127" s="80"/>
      <c r="F127" s="19"/>
      <c r="G127" s="19"/>
      <c r="H127" s="37"/>
      <c r="I127" s="37"/>
      <c r="J127" s="37"/>
      <c r="K127" s="2"/>
    </row>
    <row r="128" spans="1:11" s="5" customFormat="1" x14ac:dyDescent="0.2">
      <c r="A128" s="39"/>
      <c r="B128" s="20"/>
      <c r="C128" s="41" t="s">
        <v>240</v>
      </c>
      <c r="D128" s="41"/>
      <c r="E128" s="85"/>
      <c r="F128" s="41"/>
      <c r="G128" s="41"/>
      <c r="H128" s="63"/>
      <c r="I128" s="63"/>
      <c r="J128" s="63"/>
      <c r="K128" s="2"/>
    </row>
    <row r="129" spans="1:22" s="5" customFormat="1" x14ac:dyDescent="0.2">
      <c r="A129" s="39"/>
      <c r="B129" s="20"/>
      <c r="C129" s="41" t="s">
        <v>140</v>
      </c>
      <c r="D129" s="41"/>
      <c r="E129" s="85"/>
      <c r="F129" s="41"/>
      <c r="G129" s="41"/>
      <c r="H129" s="63"/>
      <c r="I129" s="63"/>
      <c r="J129" s="63"/>
      <c r="K129" s="2"/>
    </row>
    <row r="130" spans="1:22" s="5" customFormat="1" x14ac:dyDescent="0.2">
      <c r="A130" s="39"/>
      <c r="B130" s="20"/>
      <c r="C130" s="41" t="s">
        <v>141</v>
      </c>
      <c r="D130" s="41"/>
      <c r="E130" s="85"/>
      <c r="F130" s="41"/>
      <c r="G130" s="41"/>
      <c r="H130" s="63"/>
      <c r="I130" s="63"/>
      <c r="J130" s="63"/>
      <c r="K130" s="2"/>
    </row>
    <row r="131" spans="1:22" s="5" customFormat="1" x14ac:dyDescent="0.2">
      <c r="A131" s="39"/>
      <c r="B131" s="20"/>
      <c r="C131" s="41" t="s">
        <v>142</v>
      </c>
      <c r="D131" s="41"/>
      <c r="E131" s="85"/>
      <c r="F131" s="41"/>
      <c r="G131" s="41"/>
      <c r="H131" s="63"/>
      <c r="I131" s="63"/>
      <c r="J131" s="63"/>
      <c r="K131" s="2"/>
    </row>
    <row r="132" spans="1:22" s="5" customFormat="1" x14ac:dyDescent="0.2">
      <c r="A132" s="39"/>
      <c r="B132" s="20"/>
      <c r="C132" s="41" t="s">
        <v>241</v>
      </c>
      <c r="D132" s="41"/>
      <c r="E132" s="85"/>
      <c r="F132" s="41"/>
      <c r="G132" s="41"/>
      <c r="H132" s="63"/>
      <c r="I132" s="63"/>
      <c r="J132" s="63"/>
      <c r="K132" s="2"/>
    </row>
    <row r="133" spans="1:22" s="5" customFormat="1" x14ac:dyDescent="0.2">
      <c r="A133" s="39"/>
      <c r="B133" s="20"/>
      <c r="C133" s="41" t="s">
        <v>144</v>
      </c>
      <c r="D133" s="41"/>
      <c r="E133" s="85"/>
      <c r="F133" s="41"/>
      <c r="G133" s="41"/>
      <c r="H133" s="63"/>
      <c r="I133" s="63"/>
      <c r="J133" s="63"/>
      <c r="K133" s="2"/>
    </row>
    <row r="134" spans="1:22" s="5" customFormat="1" ht="13.5" customHeight="1" x14ac:dyDescent="0.2">
      <c r="A134" s="2"/>
      <c r="B134" s="2"/>
      <c r="C134" s="41" t="s">
        <v>145</v>
      </c>
      <c r="D134" s="41"/>
      <c r="E134" s="85"/>
      <c r="F134" s="41"/>
      <c r="G134" s="41"/>
      <c r="H134" s="63"/>
      <c r="I134" s="63"/>
      <c r="J134" s="63"/>
      <c r="K134" s="2"/>
    </row>
    <row r="135" spans="1:22" s="5" customFormat="1" x14ac:dyDescent="0.2">
      <c r="A135" s="2"/>
      <c r="B135" s="2"/>
      <c r="C135" s="41" t="s">
        <v>146</v>
      </c>
      <c r="D135" s="19"/>
      <c r="E135" s="80"/>
      <c r="F135" s="19"/>
      <c r="G135" s="19"/>
      <c r="H135" s="37"/>
      <c r="I135" s="37"/>
      <c r="J135" s="37"/>
      <c r="K135" s="2"/>
    </row>
    <row r="136" spans="1:22" s="5" customFormat="1" x14ac:dyDescent="0.2">
      <c r="A136" s="2"/>
      <c r="B136" s="2"/>
      <c r="C136" s="41"/>
      <c r="D136" s="19"/>
      <c r="E136" s="80"/>
      <c r="F136" s="19"/>
      <c r="G136" s="19"/>
      <c r="H136" s="37"/>
      <c r="I136" s="37"/>
      <c r="J136" s="37"/>
      <c r="K136" s="2"/>
    </row>
    <row r="137" spans="1:22" s="5" customFormat="1" x14ac:dyDescent="0.2">
      <c r="A137" s="2"/>
      <c r="B137" s="64"/>
      <c r="C137" s="64"/>
      <c r="D137" s="64"/>
      <c r="E137" s="86"/>
      <c r="F137" s="64"/>
      <c r="G137" s="64"/>
      <c r="H137" s="64"/>
      <c r="I137" s="64"/>
      <c r="J137" s="64"/>
      <c r="K137" s="64"/>
    </row>
    <row r="139" spans="1:22" x14ac:dyDescent="0.2">
      <c r="C139" s="41"/>
      <c r="D139" s="19"/>
      <c r="E139" s="80"/>
      <c r="F139" s="19"/>
      <c r="G139" s="19"/>
      <c r="H139" s="37"/>
      <c r="I139" s="37"/>
      <c r="J139" s="37"/>
    </row>
    <row r="140" spans="1:22" x14ac:dyDescent="0.2">
      <c r="A140" s="43" t="s">
        <v>147</v>
      </c>
      <c r="B140" s="33"/>
      <c r="C140" s="33"/>
      <c r="D140" s="33"/>
      <c r="E140" s="83"/>
      <c r="F140" s="33"/>
      <c r="G140" s="33"/>
      <c r="H140" s="33"/>
      <c r="I140" s="33"/>
      <c r="J140" s="33"/>
    </row>
    <row r="141" spans="1:22" s="33" customFormat="1" x14ac:dyDescent="0.2">
      <c r="A141" s="19" t="s">
        <v>228</v>
      </c>
      <c r="B141" s="20"/>
      <c r="C141" s="19"/>
      <c r="D141" s="19"/>
      <c r="E141" s="80"/>
      <c r="F141" s="19"/>
      <c r="G141" s="19"/>
      <c r="H141" s="2"/>
      <c r="I141" s="54">
        <f>'10 14 2018'!I137*1.025</f>
        <v>0.98333516302856383</v>
      </c>
      <c r="J141" s="33" t="s">
        <v>149</v>
      </c>
      <c r="L141" s="45"/>
      <c r="M141" s="34"/>
      <c r="N141" s="34"/>
      <c r="O141" s="34"/>
      <c r="P141" s="34"/>
      <c r="Q141" s="34"/>
      <c r="R141" s="34"/>
      <c r="S141" s="34"/>
      <c r="T141" s="34"/>
      <c r="U141" s="34"/>
      <c r="V141" s="34"/>
    </row>
    <row r="142" spans="1:22" x14ac:dyDescent="0.2">
      <c r="A142" s="19" t="s">
        <v>150</v>
      </c>
      <c r="B142" s="20"/>
      <c r="C142" s="19"/>
      <c r="D142" s="19"/>
      <c r="E142" s="80"/>
      <c r="F142" s="19"/>
      <c r="G142" s="19"/>
      <c r="I142" s="54">
        <f>'10 14 2018'!I138*1.025</f>
        <v>0.98333516302856383</v>
      </c>
      <c r="J142" s="33" t="s">
        <v>151</v>
      </c>
    </row>
    <row r="143" spans="1:22" x14ac:dyDescent="0.2">
      <c r="A143" s="19" t="s">
        <v>152</v>
      </c>
      <c r="B143" s="33"/>
      <c r="C143" s="33"/>
      <c r="D143" s="33"/>
      <c r="E143" s="83"/>
      <c r="F143" s="33"/>
      <c r="G143" s="33"/>
      <c r="H143" s="33"/>
      <c r="I143" s="33"/>
      <c r="J143" s="33"/>
    </row>
    <row r="144" spans="1:22" s="33" customFormat="1" ht="6.75" customHeight="1" x14ac:dyDescent="0.2">
      <c r="A144" s="39"/>
      <c r="E144" s="83"/>
      <c r="L144" s="45"/>
      <c r="M144" s="34"/>
      <c r="N144" s="34"/>
      <c r="O144" s="34"/>
      <c r="P144" s="34"/>
      <c r="Q144" s="34"/>
      <c r="R144" s="34"/>
      <c r="S144" s="34"/>
      <c r="T144" s="34"/>
      <c r="U144" s="34"/>
      <c r="V144" s="34"/>
    </row>
    <row r="145" spans="1:22" s="33" customFormat="1" x14ac:dyDescent="0.2">
      <c r="A145" s="43" t="s">
        <v>153</v>
      </c>
      <c r="B145" s="20"/>
      <c r="C145" s="19"/>
      <c r="D145" s="19"/>
      <c r="E145" s="80"/>
      <c r="F145" s="19"/>
      <c r="G145" s="19"/>
      <c r="H145" s="37"/>
      <c r="I145" s="37"/>
      <c r="J145" s="37"/>
      <c r="L145" s="45"/>
      <c r="M145" s="34"/>
      <c r="N145" s="34"/>
      <c r="O145" s="34"/>
      <c r="P145" s="34"/>
      <c r="Q145" s="34"/>
      <c r="R145" s="34"/>
      <c r="S145" s="34"/>
      <c r="T145" s="34"/>
      <c r="U145" s="34"/>
      <c r="V145" s="34"/>
    </row>
    <row r="146" spans="1:22" x14ac:dyDescent="0.2">
      <c r="A146" s="33" t="s">
        <v>154</v>
      </c>
      <c r="B146" s="20"/>
      <c r="C146" s="19"/>
      <c r="D146" s="19"/>
      <c r="E146" s="80"/>
      <c r="F146" s="19"/>
      <c r="G146" s="19"/>
      <c r="H146" s="37"/>
      <c r="I146" s="37"/>
      <c r="J146" s="37"/>
    </row>
    <row r="147" spans="1:22" x14ac:dyDescent="0.2">
      <c r="A147" s="52">
        <f>'10 14 2018'!A143*1.025</f>
        <v>0.47301568014195622</v>
      </c>
      <c r="B147" s="66" t="s">
        <v>155</v>
      </c>
      <c r="C147" s="33"/>
      <c r="D147" s="33"/>
      <c r="E147" s="83"/>
      <c r="F147" s="33"/>
      <c r="G147" s="33"/>
      <c r="H147" s="33"/>
      <c r="I147" s="33"/>
      <c r="J147" s="37"/>
    </row>
    <row r="148" spans="1:22" x14ac:dyDescent="0.2">
      <c r="A148" s="67" t="s">
        <v>156</v>
      </c>
      <c r="B148" s="33"/>
      <c r="C148" s="33"/>
      <c r="D148" s="33"/>
      <c r="E148" s="83"/>
      <c r="F148" s="33"/>
      <c r="G148" s="33"/>
      <c r="H148" s="33"/>
      <c r="I148" s="33"/>
      <c r="J148" s="33"/>
    </row>
    <row r="149" spans="1:22" s="33" customFormat="1" x14ac:dyDescent="0.2">
      <c r="A149" s="67" t="s">
        <v>157</v>
      </c>
      <c r="E149" s="83"/>
      <c r="L149" s="34"/>
      <c r="M149" s="34"/>
      <c r="N149" s="34"/>
      <c r="O149" s="34"/>
      <c r="P149" s="34"/>
      <c r="Q149" s="34"/>
      <c r="R149" s="34"/>
      <c r="S149" s="34"/>
      <c r="T149" s="34"/>
      <c r="U149" s="34"/>
      <c r="V149" s="34"/>
    </row>
    <row r="150" spans="1:22" s="33" customFormat="1" x14ac:dyDescent="0.2">
      <c r="A150" s="39"/>
      <c r="B150" s="66"/>
      <c r="C150" s="66"/>
      <c r="E150" s="83"/>
      <c r="L150" s="45"/>
      <c r="M150" s="34"/>
      <c r="N150" s="34"/>
      <c r="O150" s="34"/>
      <c r="P150" s="34"/>
      <c r="Q150" s="34"/>
      <c r="R150" s="34"/>
      <c r="S150" s="34"/>
      <c r="T150" s="34"/>
      <c r="U150" s="34"/>
      <c r="V150" s="34"/>
    </row>
    <row r="151" spans="1:22" s="33" customFormat="1" x14ac:dyDescent="0.2">
      <c r="A151" s="56" t="s">
        <v>158</v>
      </c>
      <c r="E151" s="83"/>
      <c r="L151" s="34"/>
      <c r="M151" s="34"/>
      <c r="N151" s="34"/>
      <c r="O151" s="34"/>
      <c r="P151" s="34"/>
      <c r="Q151" s="34"/>
      <c r="R151" s="34"/>
      <c r="S151" s="34"/>
      <c r="T151" s="34"/>
      <c r="U151" s="34"/>
      <c r="V151" s="34"/>
    </row>
    <row r="152" spans="1:22" s="33" customFormat="1" x14ac:dyDescent="0.2">
      <c r="A152" s="33" t="s">
        <v>159</v>
      </c>
      <c r="B152" s="20"/>
      <c r="C152" s="68"/>
      <c r="D152" s="19"/>
      <c r="E152" s="80"/>
      <c r="F152" s="19"/>
      <c r="G152" s="19"/>
      <c r="I152" s="37"/>
      <c r="J152" s="37"/>
      <c r="L152" s="34"/>
      <c r="M152" s="34"/>
      <c r="N152" s="34"/>
      <c r="O152" s="34"/>
      <c r="P152" s="34"/>
      <c r="Q152" s="34"/>
      <c r="R152" s="34"/>
      <c r="S152" s="34"/>
      <c r="T152" s="34"/>
      <c r="U152" s="34"/>
      <c r="V152" s="34"/>
    </row>
    <row r="153" spans="1:22" x14ac:dyDescent="0.2">
      <c r="A153" s="33" t="s">
        <v>242</v>
      </c>
      <c r="B153" s="19"/>
      <c r="C153" s="19"/>
      <c r="D153" s="19"/>
      <c r="E153" s="80"/>
      <c r="F153" s="19"/>
      <c r="G153" s="19"/>
      <c r="H153" s="37"/>
      <c r="I153" s="37"/>
      <c r="J153" s="37"/>
    </row>
    <row r="154" spans="1:22" x14ac:dyDescent="0.2">
      <c r="A154" s="33" t="s">
        <v>161</v>
      </c>
      <c r="B154" s="69"/>
      <c r="C154" s="41"/>
      <c r="D154" s="41"/>
      <c r="E154" s="85"/>
      <c r="F154" s="41"/>
      <c r="G154" s="41"/>
      <c r="H154" s="63"/>
      <c r="I154" s="63"/>
      <c r="J154" s="63"/>
    </row>
    <row r="155" spans="1:22" x14ac:dyDescent="0.2">
      <c r="A155" s="33" t="s">
        <v>238</v>
      </c>
      <c r="B155" s="69"/>
      <c r="C155" s="41"/>
      <c r="D155" s="41"/>
      <c r="E155" s="85"/>
      <c r="F155" s="41"/>
      <c r="G155" s="41"/>
      <c r="H155" s="63"/>
      <c r="I155" s="63"/>
      <c r="J155" s="63"/>
    </row>
    <row r="156" spans="1:22" x14ac:dyDescent="0.2">
      <c r="A156" s="33" t="s">
        <v>163</v>
      </c>
      <c r="B156" s="69"/>
      <c r="C156" s="41"/>
      <c r="D156" s="41"/>
      <c r="E156" s="85"/>
      <c r="F156" s="41"/>
      <c r="G156" s="41"/>
      <c r="H156" s="63"/>
      <c r="I156" s="63"/>
      <c r="J156" s="63"/>
    </row>
    <row r="157" spans="1:22" x14ac:dyDescent="0.2">
      <c r="A157" s="33" t="s">
        <v>164</v>
      </c>
      <c r="B157" s="69"/>
      <c r="C157" s="41"/>
      <c r="D157" s="41"/>
      <c r="E157" s="85"/>
      <c r="F157" s="41"/>
      <c r="G157" s="41"/>
      <c r="H157" s="63"/>
      <c r="I157" s="63"/>
      <c r="J157" s="63"/>
    </row>
    <row r="158" spans="1:22" x14ac:dyDescent="0.2">
      <c r="A158" s="19" t="s">
        <v>239</v>
      </c>
      <c r="B158" s="69"/>
      <c r="C158" s="41"/>
      <c r="D158" s="41"/>
      <c r="E158" s="85"/>
      <c r="F158" s="41"/>
      <c r="G158" s="41"/>
      <c r="H158" s="63"/>
      <c r="I158" s="63"/>
      <c r="J158" s="63"/>
    </row>
    <row r="159" spans="1:22" x14ac:dyDescent="0.2">
      <c r="A159" s="19"/>
      <c r="B159" s="69"/>
      <c r="C159" s="41"/>
      <c r="D159" s="41"/>
      <c r="E159" s="85"/>
      <c r="F159" s="41"/>
      <c r="G159" s="41"/>
      <c r="H159" s="63"/>
      <c r="I159" s="63"/>
      <c r="J159" s="63"/>
    </row>
    <row r="160" spans="1:22" x14ac:dyDescent="0.2">
      <c r="A160" s="70" t="s">
        <v>166</v>
      </c>
      <c r="B160" s="69"/>
      <c r="C160" s="41"/>
      <c r="D160" s="41"/>
      <c r="E160" s="85"/>
      <c r="F160" s="41"/>
      <c r="G160" s="41"/>
      <c r="H160" s="63"/>
      <c r="I160" s="63"/>
      <c r="J160" s="63"/>
    </row>
    <row r="161" spans="1:22" x14ac:dyDescent="0.2">
      <c r="A161" s="39" t="s">
        <v>167</v>
      </c>
      <c r="B161" s="69"/>
      <c r="C161" s="41"/>
      <c r="D161" s="41"/>
      <c r="E161" s="85"/>
      <c r="F161" s="41"/>
      <c r="G161" s="41"/>
      <c r="H161" s="37"/>
      <c r="I161" s="37"/>
      <c r="J161" s="37"/>
    </row>
    <row r="162" spans="1:22" x14ac:dyDescent="0.2">
      <c r="A162" s="71"/>
      <c r="B162" s="20"/>
      <c r="C162" s="19"/>
      <c r="D162" s="19"/>
      <c r="E162" s="80"/>
      <c r="F162" s="19"/>
      <c r="G162" s="19"/>
      <c r="H162" s="37"/>
      <c r="I162" s="37"/>
      <c r="J162" s="37"/>
    </row>
    <row r="163" spans="1:22" x14ac:dyDescent="0.2">
      <c r="A163" s="70" t="s">
        <v>168</v>
      </c>
      <c r="B163" s="20"/>
      <c r="C163" s="19"/>
      <c r="D163" s="19"/>
      <c r="E163" s="80"/>
      <c r="F163" s="19"/>
      <c r="G163" s="19"/>
      <c r="H163" s="37"/>
      <c r="I163" s="37"/>
      <c r="J163" s="37"/>
    </row>
    <row r="164" spans="1:22" x14ac:dyDescent="0.2">
      <c r="A164" s="102" t="s">
        <v>218</v>
      </c>
      <c r="B164" s="20"/>
      <c r="C164" s="19"/>
      <c r="D164" s="19"/>
      <c r="E164" s="80"/>
      <c r="F164" s="19"/>
      <c r="G164" s="19"/>
      <c r="H164" s="37"/>
      <c r="I164" s="37"/>
      <c r="J164" s="37"/>
    </row>
    <row r="165" spans="1:22" x14ac:dyDescent="0.2">
      <c r="A165" s="102" t="s">
        <v>222</v>
      </c>
      <c r="B165" s="20"/>
      <c r="C165" s="19"/>
      <c r="D165" s="19"/>
      <c r="E165" s="80"/>
      <c r="F165" s="19"/>
      <c r="G165" s="19"/>
      <c r="H165" s="37"/>
      <c r="I165" s="37"/>
      <c r="J165" s="37"/>
    </row>
    <row r="166" spans="1:22" x14ac:dyDescent="0.2">
      <c r="A166" s="19" t="s">
        <v>220</v>
      </c>
      <c r="B166" s="20"/>
      <c r="C166" s="19"/>
      <c r="D166" s="19"/>
      <c r="E166" s="80"/>
      <c r="F166" s="19"/>
      <c r="G166" s="19"/>
      <c r="H166" s="37"/>
      <c r="I166" s="37"/>
      <c r="J166" s="37"/>
    </row>
    <row r="167" spans="1:22" x14ac:dyDescent="0.2">
      <c r="A167" s="19" t="s">
        <v>221</v>
      </c>
      <c r="B167" s="20"/>
      <c r="C167" s="19"/>
      <c r="D167" s="19"/>
      <c r="E167" s="80"/>
      <c r="F167" s="19"/>
      <c r="G167" s="19"/>
      <c r="H167" s="37"/>
      <c r="I167" s="37"/>
      <c r="J167" s="37"/>
    </row>
    <row r="168" spans="1:22" x14ac:dyDescent="0.2">
      <c r="A168" s="72"/>
      <c r="B168" s="33"/>
      <c r="C168" s="33"/>
      <c r="D168" s="33"/>
      <c r="E168" s="83"/>
      <c r="F168" s="33"/>
      <c r="G168" s="33"/>
      <c r="H168" s="33"/>
      <c r="I168" s="33"/>
      <c r="J168" s="33"/>
    </row>
    <row r="169" spans="1:22" x14ac:dyDescent="0.2">
      <c r="A169" s="70" t="s">
        <v>171</v>
      </c>
      <c r="B169" s="33"/>
      <c r="C169" s="33"/>
      <c r="D169" s="33"/>
      <c r="E169" s="83"/>
      <c r="F169" s="33"/>
      <c r="G169" s="33"/>
      <c r="H169" s="33"/>
      <c r="I169" s="33"/>
      <c r="J169" s="33"/>
    </row>
    <row r="170" spans="1:22" s="33" customFormat="1" x14ac:dyDescent="0.2">
      <c r="A170" s="57" t="s">
        <v>217</v>
      </c>
      <c r="E170" s="83"/>
      <c r="L170" s="34"/>
      <c r="M170" s="34"/>
      <c r="N170" s="34"/>
      <c r="O170" s="34"/>
      <c r="P170" s="34"/>
      <c r="Q170" s="34"/>
      <c r="R170" s="34"/>
      <c r="S170" s="34"/>
      <c r="T170" s="34"/>
      <c r="U170" s="34"/>
      <c r="V170" s="34"/>
    </row>
    <row r="171" spans="1:22" s="33" customFormat="1" x14ac:dyDescent="0.2">
      <c r="A171" s="72" t="s">
        <v>173</v>
      </c>
      <c r="B171" s="72"/>
      <c r="C171" s="72"/>
      <c r="D171" s="72"/>
      <c r="E171" s="87"/>
      <c r="F171" s="73"/>
      <c r="G171" s="73"/>
      <c r="H171" s="37"/>
      <c r="I171" s="37"/>
      <c r="J171" s="55"/>
      <c r="L171" s="45"/>
      <c r="M171" s="34"/>
      <c r="N171" s="34"/>
      <c r="O171" s="34"/>
      <c r="P171" s="34"/>
      <c r="Q171" s="34"/>
      <c r="R171" s="34"/>
      <c r="S171" s="34"/>
      <c r="T171" s="34"/>
      <c r="U171" s="34"/>
      <c r="V171" s="34"/>
    </row>
    <row r="172" spans="1:22" x14ac:dyDescent="0.2">
      <c r="A172" s="52">
        <f>'10 14 2018'!A168*1.025</f>
        <v>0.24433125462803343</v>
      </c>
      <c r="B172" s="57" t="s">
        <v>174</v>
      </c>
      <c r="C172" s="72"/>
      <c r="D172" s="72"/>
      <c r="E172" s="87"/>
      <c r="F172" s="73"/>
      <c r="G172" s="73"/>
      <c r="H172" s="37"/>
      <c r="I172" s="37"/>
      <c r="J172" s="55"/>
    </row>
    <row r="173" spans="1:22" s="5" customFormat="1" x14ac:dyDescent="0.2">
      <c r="A173" s="52">
        <f>'10 14 2018'!A169*1.025</f>
        <v>0.41042836368551427</v>
      </c>
      <c r="B173" s="57" t="s">
        <v>175</v>
      </c>
      <c r="C173" s="72"/>
      <c r="D173" s="72"/>
      <c r="E173" s="87"/>
      <c r="F173" s="73"/>
      <c r="G173" s="73"/>
      <c r="H173" s="37"/>
      <c r="I173" s="37"/>
      <c r="J173" s="55"/>
      <c r="K173" s="2"/>
      <c r="L173" s="50"/>
    </row>
    <row r="174" spans="1:22" s="5" customFormat="1" x14ac:dyDescent="0.2">
      <c r="A174" s="52">
        <f>'10 14 2018'!A170*1.025</f>
        <v>0.48625530477697287</v>
      </c>
      <c r="B174" s="57" t="s">
        <v>176</v>
      </c>
      <c r="C174" s="72"/>
      <c r="D174" s="72"/>
      <c r="E174" s="87"/>
      <c r="F174" s="73"/>
      <c r="G174" s="73"/>
      <c r="H174" s="37"/>
      <c r="I174" s="37"/>
      <c r="J174" s="55"/>
      <c r="K174" s="2"/>
      <c r="L174" s="50"/>
    </row>
    <row r="175" spans="1:22" s="5" customFormat="1" x14ac:dyDescent="0.2">
      <c r="A175" s="52">
        <f>'10 14 2018'!A171*1.025</f>
        <v>0.69808929893723837</v>
      </c>
      <c r="B175" s="57" t="s">
        <v>177</v>
      </c>
      <c r="C175" s="72"/>
      <c r="D175" s="72"/>
      <c r="E175" s="87"/>
      <c r="F175" s="73"/>
      <c r="G175" s="73"/>
      <c r="H175" s="37"/>
      <c r="I175" s="37"/>
      <c r="J175" s="55"/>
      <c r="K175" s="2"/>
      <c r="L175" s="50"/>
    </row>
    <row r="176" spans="1:22" s="5" customFormat="1" x14ac:dyDescent="0.2">
      <c r="A176" s="53"/>
      <c r="B176" s="57"/>
      <c r="C176" s="72"/>
      <c r="D176" s="72"/>
      <c r="E176" s="87"/>
      <c r="F176" s="73"/>
      <c r="G176" s="73"/>
      <c r="H176" s="37"/>
      <c r="I176" s="37"/>
      <c r="J176" s="55"/>
      <c r="K176" s="2"/>
      <c r="L176" s="50"/>
    </row>
    <row r="177" spans="1:12" s="5" customFormat="1" x14ac:dyDescent="0.2">
      <c r="A177" s="70" t="s">
        <v>178</v>
      </c>
      <c r="B177" s="2"/>
      <c r="C177" s="2"/>
      <c r="D177" s="2"/>
      <c r="E177" s="77"/>
      <c r="F177" s="2"/>
      <c r="G177" s="2"/>
      <c r="H177" s="2"/>
      <c r="I177" s="2"/>
      <c r="J177" s="2"/>
      <c r="K177" s="2"/>
      <c r="L177" s="50"/>
    </row>
    <row r="178" spans="1:12" s="5" customFormat="1" x14ac:dyDescent="0.2">
      <c r="A178" s="74" t="s">
        <v>179</v>
      </c>
      <c r="B178" s="2"/>
      <c r="C178" s="2"/>
      <c r="D178" s="2"/>
      <c r="E178" s="77"/>
      <c r="F178" s="2"/>
      <c r="G178" s="2"/>
      <c r="H178" s="2"/>
      <c r="I178" s="2"/>
      <c r="J178" s="2"/>
      <c r="K178" s="2"/>
    </row>
    <row r="179" spans="1:12" s="5" customFormat="1" x14ac:dyDescent="0.2">
      <c r="A179" s="74" t="s">
        <v>202</v>
      </c>
      <c r="B179" s="2"/>
      <c r="C179" s="2"/>
      <c r="D179" s="2"/>
      <c r="E179" s="77"/>
      <c r="F179" s="2"/>
      <c r="G179" s="2"/>
      <c r="H179" s="2"/>
      <c r="I179" s="2"/>
      <c r="J179" s="2"/>
      <c r="K179" s="2"/>
    </row>
    <row r="180" spans="1:12" s="5" customFormat="1" x14ac:dyDescent="0.2">
      <c r="A180" s="74"/>
      <c r="B180" s="2"/>
      <c r="C180" s="2"/>
      <c r="D180" s="2"/>
      <c r="E180" s="77"/>
      <c r="F180" s="2"/>
      <c r="G180" s="2"/>
      <c r="H180" s="2"/>
      <c r="I180" s="2"/>
      <c r="J180" s="2"/>
      <c r="K180" s="2"/>
    </row>
    <row r="182" spans="1:12" x14ac:dyDescent="0.2">
      <c r="A182" s="70" t="s">
        <v>199</v>
      </c>
    </row>
  </sheetData>
  <printOptions gridLines="1"/>
  <pageMargins left="0.25" right="0.25" top="0.75" bottom="0.75" header="0.3" footer="0.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81"/>
  <sheetViews>
    <sheetView topLeftCell="A34" workbookViewId="0">
      <selection activeCell="N71" sqref="N71"/>
    </sheetView>
  </sheetViews>
  <sheetFormatPr defaultColWidth="9.140625" defaultRowHeight="12.75" x14ac:dyDescent="0.2"/>
  <cols>
    <col min="1" max="1" width="10.140625" style="2" customWidth="1"/>
    <col min="2" max="2" width="7.85546875" style="2" customWidth="1"/>
    <col min="3" max="3" width="7.5703125" style="2" customWidth="1"/>
    <col min="4" max="4" width="65.28515625" style="2" bestFit="1" customWidth="1"/>
    <col min="5" max="5" width="4" style="77" hidden="1" customWidth="1"/>
    <col min="6" max="6" width="7" style="2" bestFit="1" customWidth="1"/>
    <col min="7" max="7" width="10.5703125" style="2" customWidth="1"/>
    <col min="8" max="8" width="13.5703125" style="2" customWidth="1"/>
    <col min="9" max="9" width="16.42578125" style="2" bestFit="1" customWidth="1"/>
    <col min="10" max="11" width="9.140625" style="5"/>
    <col min="12" max="12" width="9.140625" style="2"/>
    <col min="13" max="14" width="9.140625" style="5"/>
    <col min="15" max="16384" width="9.140625" style="2"/>
  </cols>
  <sheetData>
    <row r="1" spans="1:15" ht="15.75" x14ac:dyDescent="0.25">
      <c r="A1" s="89" t="s">
        <v>0</v>
      </c>
      <c r="D1" s="3"/>
      <c r="I1" s="4"/>
    </row>
    <row r="2" spans="1:15" ht="15.75" x14ac:dyDescent="0.25">
      <c r="A2" s="89" t="s">
        <v>237</v>
      </c>
      <c r="D2" s="3"/>
      <c r="I2" s="4"/>
    </row>
    <row r="3" spans="1:15" x14ac:dyDescent="0.2">
      <c r="A3" s="1"/>
      <c r="D3" s="3"/>
      <c r="I3" s="4"/>
    </row>
    <row r="4" spans="1:15" ht="25.5" x14ac:dyDescent="0.2">
      <c r="A4" s="7" t="s">
        <v>4</v>
      </c>
      <c r="B4" s="7" t="s">
        <v>183</v>
      </c>
      <c r="C4" s="7" t="s">
        <v>185</v>
      </c>
      <c r="D4" s="8" t="s">
        <v>5</v>
      </c>
      <c r="E4" s="7" t="s">
        <v>6</v>
      </c>
      <c r="F4" s="7" t="s">
        <v>7</v>
      </c>
      <c r="G4" s="7" t="s">
        <v>8</v>
      </c>
      <c r="H4" s="9" t="s">
        <v>191</v>
      </c>
      <c r="I4" s="10" t="s">
        <v>10</v>
      </c>
      <c r="J4" s="9"/>
      <c r="K4" s="13"/>
      <c r="L4" s="10"/>
    </row>
    <row r="5" spans="1:15" ht="29.25" customHeight="1" x14ac:dyDescent="0.2">
      <c r="A5" s="4" t="s">
        <v>12</v>
      </c>
      <c r="B5" s="4" t="s">
        <v>184</v>
      </c>
      <c r="C5" s="4">
        <v>21</v>
      </c>
      <c r="D5" s="14" t="s">
        <v>13</v>
      </c>
      <c r="E5" s="4">
        <v>303</v>
      </c>
      <c r="F5" s="4">
        <v>6</v>
      </c>
      <c r="G5" s="4" t="s">
        <v>14</v>
      </c>
      <c r="H5" s="15">
        <f>(('1 1 2019'!H5+1)-1.5)</f>
        <v>27.834744704413929</v>
      </c>
      <c r="I5" s="92">
        <f>(('1 1 2019'!I5+1)-1.5)</f>
        <v>29.056046976895392</v>
      </c>
      <c r="J5" s="94"/>
      <c r="K5" s="16"/>
      <c r="L5" s="93"/>
    </row>
    <row r="6" spans="1:15" x14ac:dyDescent="0.2">
      <c r="A6" s="4" t="s">
        <v>249</v>
      </c>
      <c r="B6" s="4" t="s">
        <v>184</v>
      </c>
      <c r="C6" s="75" t="s">
        <v>194</v>
      </c>
      <c r="D6" s="3" t="s">
        <v>248</v>
      </c>
      <c r="E6" s="4">
        <v>328</v>
      </c>
      <c r="F6" s="4">
        <v>7</v>
      </c>
      <c r="G6" s="4" t="s">
        <v>14</v>
      </c>
      <c r="H6" s="15">
        <v>30.353000000000002</v>
      </c>
      <c r="I6" s="92">
        <v>32.820253980968744</v>
      </c>
      <c r="J6" s="93"/>
      <c r="K6" s="16"/>
      <c r="N6" s="2"/>
    </row>
    <row r="7" spans="1:15" x14ac:dyDescent="0.2">
      <c r="A7" s="4" t="s">
        <v>17</v>
      </c>
      <c r="B7" s="4" t="s">
        <v>184</v>
      </c>
      <c r="C7" s="75" t="s">
        <v>194</v>
      </c>
      <c r="D7" s="3" t="s">
        <v>18</v>
      </c>
      <c r="E7" s="4">
        <v>335</v>
      </c>
      <c r="F7" s="4">
        <v>7</v>
      </c>
      <c r="G7" s="4" t="s">
        <v>14</v>
      </c>
      <c r="H7" s="15">
        <f>(('1 1 2019'!H8+1)-1.5)</f>
        <v>30.352869389897474</v>
      </c>
      <c r="I7" s="92">
        <f>(('1 1 2019'!I8+1)-1.5)</f>
        <v>32.820253980968744</v>
      </c>
      <c r="J7" s="93"/>
      <c r="K7" s="16"/>
      <c r="N7" s="2"/>
    </row>
    <row r="8" spans="1:15" x14ac:dyDescent="0.2">
      <c r="A8" s="4" t="s">
        <v>19</v>
      </c>
      <c r="B8" s="4" t="s">
        <v>184</v>
      </c>
      <c r="C8" s="75" t="s">
        <v>197</v>
      </c>
      <c r="D8" s="3" t="s">
        <v>20</v>
      </c>
      <c r="E8" s="4">
        <v>393</v>
      </c>
      <c r="F8" s="4">
        <v>8</v>
      </c>
      <c r="G8" s="4" t="s">
        <v>14</v>
      </c>
      <c r="H8" s="15">
        <v>33.459000000000003</v>
      </c>
      <c r="I8" s="92">
        <f>(('1 1 2019'!I9+1)-1.5)</f>
        <v>36.235180335134345</v>
      </c>
      <c r="J8" s="93"/>
      <c r="K8" s="16"/>
      <c r="L8" s="160"/>
      <c r="N8" s="2"/>
    </row>
    <row r="9" spans="1:15" x14ac:dyDescent="0.2">
      <c r="A9" s="4" t="s">
        <v>21</v>
      </c>
      <c r="B9" s="4" t="s">
        <v>184</v>
      </c>
      <c r="C9" s="75" t="s">
        <v>193</v>
      </c>
      <c r="D9" s="14" t="s">
        <v>22</v>
      </c>
      <c r="E9" s="4">
        <v>295</v>
      </c>
      <c r="F9" s="4">
        <v>6</v>
      </c>
      <c r="G9" s="4" t="s">
        <v>14</v>
      </c>
      <c r="H9" s="15">
        <f>(('1 1 2019'!H10+1)-1.5)</f>
        <v>26.801062781038297</v>
      </c>
      <c r="I9" s="92">
        <f>(('1 1 2019'!I10+1)-1.5)</f>
        <v>28.765766436769365</v>
      </c>
      <c r="J9" s="93"/>
      <c r="K9" s="16"/>
      <c r="L9" s="161"/>
      <c r="N9" s="2"/>
    </row>
    <row r="10" spans="1:15" x14ac:dyDescent="0.2">
      <c r="A10" s="4" t="s">
        <v>255</v>
      </c>
      <c r="B10" s="4" t="s">
        <v>184</v>
      </c>
      <c r="C10" s="75" t="s">
        <v>194</v>
      </c>
      <c r="D10" s="3" t="s">
        <v>251</v>
      </c>
      <c r="E10" s="4">
        <v>328</v>
      </c>
      <c r="F10" s="4">
        <v>7</v>
      </c>
      <c r="G10" s="4" t="s">
        <v>14</v>
      </c>
      <c r="H10" s="15">
        <v>30.353000000000002</v>
      </c>
      <c r="I10" s="92">
        <v>32.820253980968744</v>
      </c>
      <c r="J10" s="93"/>
      <c r="K10" s="16"/>
      <c r="L10" s="161"/>
      <c r="N10" s="2"/>
    </row>
    <row r="11" spans="1:15" x14ac:dyDescent="0.2">
      <c r="A11" s="4" t="s">
        <v>23</v>
      </c>
      <c r="B11" s="4" t="s">
        <v>184</v>
      </c>
      <c r="C11" s="75" t="s">
        <v>192</v>
      </c>
      <c r="D11" s="3" t="s">
        <v>214</v>
      </c>
      <c r="E11" s="4">
        <v>295</v>
      </c>
      <c r="F11" s="4">
        <v>6</v>
      </c>
      <c r="G11" s="4" t="s">
        <v>14</v>
      </c>
      <c r="H11" s="15">
        <f>(('1 1 2019'!H12+1)-1.5)</f>
        <v>27.834744704413929</v>
      </c>
      <c r="I11" s="92">
        <f>(('1 1 2019'!I12+1)-1.5)</f>
        <v>29.056046976895392</v>
      </c>
      <c r="J11" s="94"/>
      <c r="K11" s="16"/>
      <c r="L11" s="93"/>
    </row>
    <row r="12" spans="1:15" x14ac:dyDescent="0.2">
      <c r="A12" s="4" t="s">
        <v>25</v>
      </c>
      <c r="B12" s="4" t="s">
        <v>184</v>
      </c>
      <c r="C12" s="75" t="s">
        <v>195</v>
      </c>
      <c r="D12" s="3" t="s">
        <v>26</v>
      </c>
      <c r="E12" s="4">
        <v>285</v>
      </c>
      <c r="F12" s="4">
        <v>6</v>
      </c>
      <c r="G12" s="4" t="s">
        <v>14</v>
      </c>
      <c r="H12" s="4" t="s">
        <v>27</v>
      </c>
      <c r="I12" s="92">
        <f>(('1 1 2019'!I13+1)-1.5)</f>
        <v>30.666668993393351</v>
      </c>
      <c r="J12" s="94"/>
      <c r="K12" s="16"/>
      <c r="L12" s="93"/>
    </row>
    <row r="13" spans="1:15" s="5" customFormat="1" x14ac:dyDescent="0.2">
      <c r="A13" s="4" t="s">
        <v>28</v>
      </c>
      <c r="B13" s="4" t="s">
        <v>184</v>
      </c>
      <c r="C13" s="4">
        <v>36</v>
      </c>
      <c r="D13" s="3" t="s">
        <v>29</v>
      </c>
      <c r="E13" s="79"/>
      <c r="F13" s="4"/>
      <c r="G13" s="4"/>
      <c r="H13" s="4"/>
      <c r="I13" s="92"/>
      <c r="J13" s="94"/>
      <c r="K13" s="16"/>
      <c r="L13" s="93"/>
      <c r="O13" s="2"/>
    </row>
    <row r="14" spans="1:15" s="5" customFormat="1" x14ac:dyDescent="0.2">
      <c r="A14" s="4"/>
      <c r="B14" s="4"/>
      <c r="C14" s="4" t="s">
        <v>10</v>
      </c>
      <c r="D14" s="18" t="s">
        <v>31</v>
      </c>
      <c r="E14" s="80"/>
      <c r="F14" s="19"/>
      <c r="G14" s="20" t="s">
        <v>14</v>
      </c>
      <c r="H14" s="4" t="s">
        <v>27</v>
      </c>
      <c r="I14" s="92">
        <f>(('1 1 2019'!I15+1)-1.5)</f>
        <v>27.478569943186169</v>
      </c>
      <c r="J14" s="95"/>
      <c r="K14" s="16"/>
      <c r="L14" s="93"/>
      <c r="O14" s="2"/>
    </row>
    <row r="15" spans="1:15" s="5" customFormat="1" x14ac:dyDescent="0.2">
      <c r="A15" s="4"/>
      <c r="B15" s="4"/>
      <c r="C15" s="4" t="s">
        <v>186</v>
      </c>
      <c r="D15" s="18" t="s">
        <v>32</v>
      </c>
      <c r="E15" s="80"/>
      <c r="F15" s="19"/>
      <c r="G15" s="20" t="s">
        <v>14</v>
      </c>
      <c r="H15" s="4" t="s">
        <v>27</v>
      </c>
      <c r="I15" s="92">
        <f>(('1 1 2019'!I16+1)-1.5)</f>
        <v>28.42631382586903</v>
      </c>
      <c r="J15" s="95"/>
      <c r="K15" s="16"/>
      <c r="L15" s="93"/>
      <c r="O15" s="2"/>
    </row>
    <row r="16" spans="1:15" s="5" customFormat="1" x14ac:dyDescent="0.2">
      <c r="A16" s="4"/>
      <c r="B16" s="4"/>
      <c r="C16" s="4" t="s">
        <v>187</v>
      </c>
      <c r="D16" s="18" t="s">
        <v>33</v>
      </c>
      <c r="E16" s="80"/>
      <c r="F16" s="19"/>
      <c r="G16" s="20" t="s">
        <v>14</v>
      </c>
      <c r="H16" s="4" t="s">
        <v>27</v>
      </c>
      <c r="I16" s="92">
        <f>(('1 1 2019'!I17+1)-1.5)</f>
        <v>29.173098881710469</v>
      </c>
      <c r="J16" s="95"/>
      <c r="K16" s="16"/>
      <c r="L16" s="93"/>
      <c r="O16" s="2"/>
    </row>
    <row r="17" spans="1:15" s="5" customFormat="1" x14ac:dyDescent="0.2">
      <c r="A17" s="29"/>
      <c r="B17" s="29"/>
      <c r="C17" s="4" t="s">
        <v>188</v>
      </c>
      <c r="D17" s="23" t="s">
        <v>34</v>
      </c>
      <c r="E17" s="81"/>
      <c r="F17" s="24"/>
      <c r="G17" s="25" t="s">
        <v>14</v>
      </c>
      <c r="H17" s="4" t="s">
        <v>27</v>
      </c>
      <c r="I17" s="92">
        <f>(('1 1 2019'!I18+1)-1.5)</f>
        <v>29.919883937551909</v>
      </c>
      <c r="J17" s="96"/>
      <c r="K17" s="16"/>
      <c r="L17" s="108"/>
      <c r="O17" s="2"/>
    </row>
    <row r="18" spans="1:15" s="5" customFormat="1" x14ac:dyDescent="0.2">
      <c r="A18" s="29"/>
      <c r="B18" s="29"/>
      <c r="C18" s="4" t="s">
        <v>189</v>
      </c>
      <c r="D18" s="23" t="s">
        <v>35</v>
      </c>
      <c r="E18" s="81"/>
      <c r="F18" s="24"/>
      <c r="G18" s="25" t="s">
        <v>14</v>
      </c>
      <c r="H18" s="4" t="s">
        <v>27</v>
      </c>
      <c r="I18" s="92">
        <f>(('1 1 2019'!I19+1)-1.5)</f>
        <v>30.666668993393351</v>
      </c>
      <c r="J18" s="96"/>
      <c r="K18" s="16"/>
      <c r="L18" s="108"/>
      <c r="O18" s="2"/>
    </row>
    <row r="19" spans="1:15" s="5" customFormat="1" x14ac:dyDescent="0.2">
      <c r="A19" s="29"/>
      <c r="B19" s="29"/>
      <c r="C19" s="4"/>
      <c r="D19" s="23"/>
      <c r="E19" s="81"/>
      <c r="F19" s="24"/>
      <c r="G19" s="25"/>
      <c r="H19" s="4"/>
      <c r="I19" s="92"/>
      <c r="J19" s="96"/>
      <c r="K19" s="16"/>
      <c r="L19" s="108"/>
      <c r="O19" s="2"/>
    </row>
    <row r="20" spans="1:15" s="5" customFormat="1" x14ac:dyDescent="0.2">
      <c r="A20" s="29" t="s">
        <v>36</v>
      </c>
      <c r="B20" s="29" t="s">
        <v>184</v>
      </c>
      <c r="C20" s="4">
        <v>37</v>
      </c>
      <c r="D20" s="23" t="s">
        <v>37</v>
      </c>
      <c r="E20" s="81"/>
      <c r="F20" s="24"/>
      <c r="G20" s="25"/>
      <c r="H20" s="4"/>
      <c r="I20" s="92"/>
      <c r="J20" s="96"/>
      <c r="K20" s="16"/>
      <c r="L20" s="108"/>
      <c r="O20" s="2"/>
    </row>
    <row r="21" spans="1:15" s="5" customFormat="1" x14ac:dyDescent="0.2">
      <c r="A21" s="29"/>
      <c r="B21" s="29"/>
      <c r="C21" s="4" t="s">
        <v>10</v>
      </c>
      <c r="D21" s="23" t="s">
        <v>38</v>
      </c>
      <c r="E21" s="81"/>
      <c r="F21" s="24"/>
      <c r="G21" s="25" t="s">
        <v>14</v>
      </c>
      <c r="H21" s="4" t="s">
        <v>27</v>
      </c>
      <c r="I21" s="92">
        <f>(('1 1 2019'!I22+1)-1.5)</f>
        <v>28.341263544332399</v>
      </c>
      <c r="J21" s="96"/>
      <c r="K21" s="16"/>
      <c r="L21" s="108"/>
      <c r="O21" s="2"/>
    </row>
    <row r="22" spans="1:15" s="5" customFormat="1" x14ac:dyDescent="0.2">
      <c r="A22" s="29"/>
      <c r="B22" s="29"/>
      <c r="C22" s="4" t="s">
        <v>186</v>
      </c>
      <c r="D22" s="23" t="s">
        <v>32</v>
      </c>
      <c r="E22" s="81"/>
      <c r="F22" s="24"/>
      <c r="G22" s="25" t="s">
        <v>14</v>
      </c>
      <c r="H22" s="4" t="s">
        <v>27</v>
      </c>
      <c r="I22" s="92">
        <f>(('1 1 2019'!I23+1)-1.5)</f>
        <v>29.079750749730287</v>
      </c>
      <c r="J22" s="96"/>
      <c r="K22" s="16"/>
      <c r="L22" s="108"/>
      <c r="O22" s="2"/>
    </row>
    <row r="23" spans="1:15" s="5" customFormat="1" x14ac:dyDescent="0.2">
      <c r="A23" s="29"/>
      <c r="B23" s="29"/>
      <c r="C23" s="4" t="s">
        <v>187</v>
      </c>
      <c r="D23" s="23" t="s">
        <v>33</v>
      </c>
      <c r="E23" s="81"/>
      <c r="F23" s="24"/>
      <c r="G23" s="25" t="s">
        <v>14</v>
      </c>
      <c r="H23" s="4" t="s">
        <v>27</v>
      </c>
      <c r="I23" s="92">
        <f>(('1 1 2019'!I24+1)-1.5)</f>
        <v>29.608723497617977</v>
      </c>
      <c r="J23" s="96"/>
      <c r="K23" s="16"/>
      <c r="L23" s="108"/>
      <c r="O23" s="2"/>
    </row>
    <row r="24" spans="1:15" s="5" customFormat="1" x14ac:dyDescent="0.2">
      <c r="A24" s="29"/>
      <c r="B24" s="29"/>
      <c r="C24" s="4" t="s">
        <v>188</v>
      </c>
      <c r="D24" s="23" t="s">
        <v>34</v>
      </c>
      <c r="E24" s="81"/>
      <c r="F24" s="24"/>
      <c r="G24" s="25" t="s">
        <v>14</v>
      </c>
      <c r="H24" s="4" t="s">
        <v>27</v>
      </c>
      <c r="I24" s="92">
        <f>(('1 1 2019'!I25+1)-1.5)</f>
        <v>30.137696245505662</v>
      </c>
      <c r="J24" s="96"/>
      <c r="K24" s="16"/>
      <c r="L24" s="108"/>
      <c r="O24" s="2"/>
    </row>
    <row r="25" spans="1:15" s="5" customFormat="1" x14ac:dyDescent="0.2">
      <c r="A25" s="29"/>
      <c r="B25" s="29"/>
      <c r="C25" s="4" t="s">
        <v>189</v>
      </c>
      <c r="D25" s="23" t="s">
        <v>35</v>
      </c>
      <c r="E25" s="81"/>
      <c r="F25" s="24"/>
      <c r="G25" s="25" t="s">
        <v>14</v>
      </c>
      <c r="H25" s="4" t="s">
        <v>27</v>
      </c>
      <c r="I25" s="92">
        <f>(('1 1 2019'!I26+1)-1.5)</f>
        <v>30.666668993393351</v>
      </c>
      <c r="J25" s="96"/>
      <c r="K25" s="16"/>
      <c r="L25" s="108"/>
      <c r="O25" s="2"/>
    </row>
    <row r="26" spans="1:15" s="5" customFormat="1" x14ac:dyDescent="0.2">
      <c r="A26" s="29"/>
      <c r="B26" s="29"/>
      <c r="C26" s="4"/>
      <c r="D26" s="23"/>
      <c r="E26" s="81"/>
      <c r="F26" s="24"/>
      <c r="G26" s="25"/>
      <c r="H26" s="4" t="s">
        <v>30</v>
      </c>
      <c r="I26" s="92"/>
      <c r="J26" s="96"/>
      <c r="K26" s="27"/>
      <c r="L26" s="108"/>
      <c r="O26" s="2"/>
    </row>
    <row r="27" spans="1:15" s="5" customFormat="1" x14ac:dyDescent="0.2">
      <c r="A27" s="29"/>
      <c r="B27" s="29"/>
      <c r="C27" s="4"/>
      <c r="D27" s="28" t="s">
        <v>39</v>
      </c>
      <c r="E27" s="81"/>
      <c r="F27" s="24"/>
      <c r="G27" s="25"/>
      <c r="H27" s="4"/>
      <c r="I27" s="92"/>
      <c r="J27" s="96"/>
      <c r="K27" s="27"/>
      <c r="L27" s="108"/>
      <c r="O27" s="2"/>
    </row>
    <row r="28" spans="1:15" s="5" customFormat="1" x14ac:dyDescent="0.2">
      <c r="A28" s="29" t="s">
        <v>40</v>
      </c>
      <c r="B28" s="4" t="s">
        <v>184</v>
      </c>
      <c r="C28" s="4" t="s">
        <v>190</v>
      </c>
      <c r="D28" s="30" t="s">
        <v>41</v>
      </c>
      <c r="E28" s="79">
        <v>275</v>
      </c>
      <c r="F28" s="4">
        <v>6</v>
      </c>
      <c r="G28" s="25" t="s">
        <v>14</v>
      </c>
      <c r="H28" s="21">
        <f>(('1 1 2019'!H29+1)-1.5)</f>
        <v>27.56616694976838</v>
      </c>
      <c r="I28" s="92">
        <f>(('1 1 2019'!I29+1)-1.5)</f>
        <v>28.801166502638395</v>
      </c>
      <c r="J28" s="96"/>
      <c r="K28" s="27"/>
      <c r="L28" s="108"/>
      <c r="O28" s="2"/>
    </row>
    <row r="29" spans="1:15" s="5" customFormat="1" ht="11.25" customHeight="1" x14ac:dyDescent="0.2">
      <c r="A29" s="29"/>
      <c r="B29" s="31"/>
      <c r="C29" s="31"/>
      <c r="D29" s="31"/>
      <c r="E29" s="82"/>
      <c r="F29" s="31"/>
      <c r="G29" s="31"/>
      <c r="H29" s="31"/>
      <c r="I29" s="31"/>
      <c r="J29" s="2"/>
      <c r="L29" s="2"/>
      <c r="O29" s="2"/>
    </row>
    <row r="30" spans="1:15" x14ac:dyDescent="0.2">
      <c r="A30" s="2" t="s">
        <v>246</v>
      </c>
      <c r="B30" s="31"/>
      <c r="C30" s="31"/>
      <c r="D30" s="31"/>
      <c r="E30" s="82"/>
      <c r="F30" s="31"/>
      <c r="G30" s="31"/>
      <c r="H30" s="31"/>
      <c r="I30" s="31"/>
      <c r="J30" s="2"/>
      <c r="K30" s="2"/>
      <c r="M30" s="2"/>
      <c r="N30" s="2"/>
    </row>
    <row r="31" spans="1:15" s="33" customFormat="1" x14ac:dyDescent="0.2">
      <c r="A31" s="1"/>
      <c r="E31" s="83"/>
    </row>
    <row r="32" spans="1:15" s="33" customFormat="1" x14ac:dyDescent="0.2">
      <c r="A32" s="33" t="s">
        <v>225</v>
      </c>
      <c r="E32" s="83"/>
      <c r="J32" s="34"/>
      <c r="K32" s="34"/>
      <c r="M32" s="34"/>
      <c r="N32" s="34"/>
    </row>
    <row r="33" spans="1:14" x14ac:dyDescent="0.2">
      <c r="A33" s="33" t="s">
        <v>44</v>
      </c>
      <c r="F33" s="4"/>
      <c r="G33" s="35"/>
      <c r="H33" s="35"/>
      <c r="I33" s="35"/>
    </row>
    <row r="34" spans="1:14" s="33" customFormat="1" x14ac:dyDescent="0.2">
      <c r="A34" s="1"/>
      <c r="E34" s="83"/>
      <c r="J34" s="34"/>
      <c r="K34" s="34"/>
      <c r="M34" s="34"/>
      <c r="N34" s="34"/>
    </row>
    <row r="35" spans="1:14" s="33" customFormat="1" x14ac:dyDescent="0.2">
      <c r="A35" s="36" t="s">
        <v>226</v>
      </c>
      <c r="E35" s="83"/>
      <c r="J35" s="34"/>
      <c r="K35" s="34"/>
      <c r="M35" s="34"/>
      <c r="N35" s="34"/>
    </row>
    <row r="36" spans="1:14" x14ac:dyDescent="0.2">
      <c r="A36" s="36" t="s">
        <v>46</v>
      </c>
      <c r="F36" s="4"/>
      <c r="G36" s="35"/>
      <c r="H36" s="35"/>
      <c r="I36" s="35"/>
    </row>
    <row r="37" spans="1:14" s="33" customFormat="1" x14ac:dyDescent="0.2">
      <c r="A37" s="18"/>
      <c r="B37" s="19"/>
      <c r="C37" s="19"/>
      <c r="D37" s="19"/>
      <c r="E37" s="84"/>
      <c r="F37" s="37"/>
      <c r="G37" s="38"/>
      <c r="H37" s="37"/>
      <c r="I37" s="37"/>
      <c r="J37" s="34"/>
      <c r="K37" s="34"/>
      <c r="M37" s="34"/>
      <c r="N37" s="34"/>
    </row>
    <row r="38" spans="1:14" s="33" customFormat="1" x14ac:dyDescent="0.2">
      <c r="A38" s="39" t="s">
        <v>229</v>
      </c>
      <c r="E38" s="83"/>
      <c r="J38" s="34"/>
      <c r="K38" s="34"/>
      <c r="M38" s="34"/>
      <c r="N38" s="34"/>
    </row>
    <row r="39" spans="1:14" x14ac:dyDescent="0.2">
      <c r="A39" s="39" t="s">
        <v>48</v>
      </c>
      <c r="B39" s="33"/>
      <c r="C39" s="33"/>
      <c r="D39" s="33"/>
      <c r="G39" s="76">
        <f>'10 14 2018'!G38*1.025</f>
        <v>1.180002195634277</v>
      </c>
      <c r="H39" s="33" t="s">
        <v>49</v>
      </c>
      <c r="I39" s="33"/>
    </row>
    <row r="40" spans="1:14" s="33" customFormat="1" x14ac:dyDescent="0.2">
      <c r="A40" s="20"/>
      <c r="B40" s="19"/>
      <c r="C40" s="19"/>
      <c r="D40" s="19"/>
      <c r="E40" s="80"/>
      <c r="F40" s="19"/>
      <c r="G40" s="20"/>
      <c r="H40" s="37"/>
      <c r="I40" s="37"/>
      <c r="J40" s="34"/>
      <c r="K40" s="34"/>
      <c r="M40" s="34"/>
      <c r="N40" s="34"/>
    </row>
    <row r="41" spans="1:14" s="33" customFormat="1" x14ac:dyDescent="0.2">
      <c r="A41" s="39" t="s">
        <v>232</v>
      </c>
      <c r="E41" s="83"/>
      <c r="G41" s="4"/>
      <c r="J41" s="34"/>
      <c r="K41" s="34"/>
      <c r="M41" s="34"/>
      <c r="N41" s="34"/>
    </row>
    <row r="42" spans="1:14" x14ac:dyDescent="0.2">
      <c r="A42" s="39" t="s">
        <v>51</v>
      </c>
      <c r="B42" s="33"/>
      <c r="C42" s="33"/>
      <c r="D42" s="33"/>
      <c r="G42" s="76">
        <f>'10 14 2018'!G41*1.025</f>
        <v>1.9319643791267083</v>
      </c>
      <c r="H42" s="33" t="s">
        <v>49</v>
      </c>
      <c r="I42" s="33"/>
    </row>
    <row r="43" spans="1:14" s="33" customFormat="1" x14ac:dyDescent="0.2">
      <c r="A43" s="20"/>
      <c r="E43" s="83"/>
      <c r="G43" s="4"/>
      <c r="J43" s="34"/>
      <c r="K43" s="34"/>
      <c r="M43" s="34"/>
      <c r="N43" s="34"/>
    </row>
    <row r="44" spans="1:14" s="33" customFormat="1" x14ac:dyDescent="0.2">
      <c r="A44" s="20"/>
      <c r="E44" s="83"/>
      <c r="G44" s="4"/>
      <c r="J44" s="34"/>
      <c r="K44" s="34"/>
      <c r="M44" s="34"/>
      <c r="N44" s="34"/>
    </row>
    <row r="45" spans="1:14" x14ac:dyDescent="0.2">
      <c r="A45" s="91" t="s">
        <v>233</v>
      </c>
      <c r="C45" s="41"/>
      <c r="D45" s="19"/>
      <c r="E45" s="80"/>
      <c r="F45" s="19"/>
      <c r="G45" s="76">
        <f>'10 14 2018'!G44*1.025</f>
        <v>1.7700032934514152</v>
      </c>
      <c r="H45" s="42" t="s">
        <v>53</v>
      </c>
      <c r="I45" s="37"/>
    </row>
    <row r="46" spans="1:14" x14ac:dyDescent="0.2">
      <c r="A46" s="19" t="s">
        <v>234</v>
      </c>
      <c r="C46" s="41"/>
      <c r="D46" s="19"/>
      <c r="E46" s="80"/>
      <c r="F46" s="19"/>
      <c r="G46" s="19"/>
      <c r="H46" s="37"/>
      <c r="I46" s="37"/>
    </row>
    <row r="47" spans="1:14" x14ac:dyDescent="0.2">
      <c r="A47" s="2" t="s">
        <v>215</v>
      </c>
      <c r="C47" s="41"/>
      <c r="D47" s="19"/>
      <c r="E47" s="80"/>
      <c r="F47" s="19"/>
      <c r="G47" s="19"/>
      <c r="H47" s="37"/>
      <c r="I47" s="37"/>
    </row>
    <row r="48" spans="1:14" s="33" customFormat="1" x14ac:dyDescent="0.2">
      <c r="A48" s="20"/>
      <c r="E48" s="83"/>
      <c r="J48" s="34"/>
      <c r="K48" s="34"/>
      <c r="M48" s="34"/>
      <c r="N48" s="34"/>
    </row>
    <row r="49" spans="1:15" s="33" customFormat="1" x14ac:dyDescent="0.2">
      <c r="A49" s="20"/>
      <c r="E49" s="83"/>
      <c r="J49" s="34"/>
      <c r="K49" s="34"/>
      <c r="M49" s="34"/>
      <c r="N49" s="34"/>
    </row>
    <row r="50" spans="1:15" s="33" customFormat="1" x14ac:dyDescent="0.2">
      <c r="A50" s="43" t="s">
        <v>56</v>
      </c>
      <c r="B50" s="44"/>
      <c r="E50" s="83"/>
      <c r="J50" s="34"/>
      <c r="K50" s="34"/>
      <c r="M50" s="34"/>
      <c r="N50" s="34"/>
    </row>
    <row r="51" spans="1:15" s="33" customFormat="1" x14ac:dyDescent="0.2">
      <c r="A51" s="39" t="s">
        <v>227</v>
      </c>
      <c r="E51" s="83"/>
      <c r="J51" s="34"/>
      <c r="K51" s="34"/>
      <c r="M51" s="34"/>
      <c r="N51" s="34"/>
      <c r="O51" s="34"/>
    </row>
    <row r="52" spans="1:15" s="33" customFormat="1" x14ac:dyDescent="0.2">
      <c r="A52" s="39" t="s">
        <v>58</v>
      </c>
      <c r="E52" s="83"/>
      <c r="J52" s="34"/>
      <c r="K52" s="34"/>
      <c r="M52" s="34"/>
      <c r="N52" s="34"/>
      <c r="O52" s="34"/>
    </row>
    <row r="53" spans="1:15" s="33" customFormat="1" x14ac:dyDescent="0.2">
      <c r="A53" s="46">
        <f>'10 14 2018'!A52*1.025</f>
        <v>0.29500054890856925</v>
      </c>
      <c r="B53" s="33" t="s">
        <v>59</v>
      </c>
      <c r="E53" s="83"/>
      <c r="J53" s="34"/>
      <c r="K53" s="34"/>
      <c r="M53" s="34"/>
      <c r="N53" s="34"/>
      <c r="O53" s="34"/>
    </row>
    <row r="54" spans="1:15" s="33" customFormat="1" x14ac:dyDescent="0.2">
      <c r="A54" s="39" t="s">
        <v>60</v>
      </c>
      <c r="E54" s="83"/>
      <c r="J54" s="34"/>
      <c r="K54" s="34"/>
      <c r="M54" s="34"/>
      <c r="N54" s="34"/>
      <c r="O54" s="34"/>
    </row>
    <row r="55" spans="1:15" s="33" customFormat="1" x14ac:dyDescent="0.2">
      <c r="A55" s="39" t="s">
        <v>61</v>
      </c>
      <c r="E55" s="83"/>
      <c r="J55" s="34"/>
      <c r="K55" s="34"/>
      <c r="M55" s="34"/>
      <c r="N55" s="34"/>
      <c r="O55" s="34"/>
    </row>
    <row r="56" spans="1:15" s="33" customFormat="1" x14ac:dyDescent="0.2">
      <c r="A56" s="39" t="s">
        <v>62</v>
      </c>
      <c r="E56" s="83"/>
      <c r="J56" s="34"/>
      <c r="K56" s="34"/>
      <c r="M56" s="34"/>
      <c r="N56" s="34"/>
      <c r="O56" s="34"/>
    </row>
    <row r="57" spans="1:15" s="33" customFormat="1" x14ac:dyDescent="0.2">
      <c r="A57" s="39" t="s">
        <v>63</v>
      </c>
      <c r="E57" s="83"/>
      <c r="J57" s="34"/>
      <c r="K57" s="34"/>
      <c r="M57" s="34"/>
      <c r="N57" s="34"/>
      <c r="O57" s="34"/>
    </row>
    <row r="58" spans="1:15" s="33" customFormat="1" x14ac:dyDescent="0.2">
      <c r="A58" s="39"/>
      <c r="E58" s="83"/>
      <c r="J58" s="34"/>
      <c r="K58" s="34"/>
      <c r="M58" s="34"/>
      <c r="N58" s="34"/>
    </row>
    <row r="59" spans="1:15" s="33" customFormat="1" x14ac:dyDescent="0.2">
      <c r="A59" s="39" t="s">
        <v>64</v>
      </c>
      <c r="E59" s="83"/>
      <c r="J59" s="34"/>
      <c r="K59" s="34"/>
      <c r="M59" s="34"/>
      <c r="N59" s="34"/>
    </row>
    <row r="60" spans="1:15" s="33" customFormat="1" x14ac:dyDescent="0.2">
      <c r="A60" s="39" t="s">
        <v>65</v>
      </c>
      <c r="E60" s="83"/>
      <c r="J60" s="34"/>
      <c r="K60" s="34"/>
      <c r="M60" s="34"/>
      <c r="N60" s="34"/>
    </row>
    <row r="61" spans="1:15" s="33" customFormat="1" x14ac:dyDescent="0.2">
      <c r="A61" s="47" t="s">
        <v>66</v>
      </c>
      <c r="E61" s="83"/>
      <c r="F61" s="48">
        <f>'10 14 2018'!F60*1.025</f>
        <v>1.8439186309859461</v>
      </c>
      <c r="G61" s="19" t="s">
        <v>67</v>
      </c>
      <c r="J61" s="34"/>
      <c r="K61" s="34"/>
      <c r="M61" s="34"/>
      <c r="N61" s="34"/>
    </row>
    <row r="62" spans="1:15" s="33" customFormat="1" x14ac:dyDescent="0.2">
      <c r="A62" s="47" t="s">
        <v>68</v>
      </c>
      <c r="E62" s="83"/>
      <c r="F62" s="48">
        <f>'10 14 2018'!F61*1.025</f>
        <v>1.3263696679807528</v>
      </c>
      <c r="G62" s="19" t="s">
        <v>67</v>
      </c>
      <c r="J62" s="34"/>
      <c r="K62" s="34"/>
      <c r="M62" s="34"/>
      <c r="N62" s="34"/>
    </row>
    <row r="63" spans="1:15" x14ac:dyDescent="0.2">
      <c r="A63" s="47" t="s">
        <v>69</v>
      </c>
      <c r="B63" s="20"/>
      <c r="C63" s="19"/>
      <c r="D63" s="19"/>
      <c r="E63" s="80"/>
      <c r="F63" s="49">
        <f>'10 14 2018'!F62*1.025</f>
        <v>0.8846476460670174</v>
      </c>
      <c r="G63" s="19" t="s">
        <v>67</v>
      </c>
      <c r="H63" s="37"/>
      <c r="I63" s="37"/>
    </row>
    <row r="64" spans="1:15" x14ac:dyDescent="0.2">
      <c r="A64" s="39"/>
      <c r="B64" s="20"/>
      <c r="C64" s="19"/>
      <c r="D64" s="19"/>
      <c r="E64" s="80"/>
      <c r="H64" s="37"/>
      <c r="I64" s="37"/>
    </row>
    <row r="65" spans="1:9" x14ac:dyDescent="0.2">
      <c r="A65" s="43" t="s">
        <v>70</v>
      </c>
      <c r="B65" s="51"/>
      <c r="C65" s="19"/>
      <c r="D65" s="19"/>
      <c r="E65" s="80"/>
      <c r="H65" s="37"/>
      <c r="I65" s="37"/>
    </row>
    <row r="66" spans="1:9" x14ac:dyDescent="0.2">
      <c r="A66" s="18" t="s">
        <v>71</v>
      </c>
      <c r="B66" s="20"/>
      <c r="C66" s="19"/>
      <c r="D66" s="19"/>
      <c r="E66" s="80"/>
      <c r="F66" s="19"/>
      <c r="G66" s="19"/>
      <c r="H66" s="37"/>
      <c r="I66" s="37"/>
    </row>
    <row r="67" spans="1:9" x14ac:dyDescent="0.2">
      <c r="A67" s="18" t="s">
        <v>72</v>
      </c>
      <c r="B67" s="20"/>
      <c r="C67" s="19"/>
      <c r="D67" s="19"/>
      <c r="E67" s="80"/>
      <c r="F67" s="19"/>
      <c r="G67" s="19"/>
      <c r="H67" s="37"/>
      <c r="I67" s="37"/>
    </row>
    <row r="68" spans="1:9" x14ac:dyDescent="0.2">
      <c r="A68" s="52">
        <f>'10 14 2018'!A67</f>
        <v>0.7605256846041093</v>
      </c>
      <c r="B68" s="39" t="s">
        <v>73</v>
      </c>
      <c r="C68" s="19"/>
      <c r="D68" s="19"/>
      <c r="E68" s="80"/>
      <c r="F68" s="19"/>
      <c r="G68" s="19"/>
      <c r="H68" s="37"/>
      <c r="I68" s="37"/>
    </row>
    <row r="69" spans="1:9" x14ac:dyDescent="0.2">
      <c r="A69" s="18" t="s">
        <v>74</v>
      </c>
      <c r="B69" s="20"/>
      <c r="C69" s="19"/>
      <c r="D69" s="19"/>
      <c r="E69" s="80"/>
      <c r="F69" s="19"/>
      <c r="G69" s="19"/>
      <c r="H69" s="53"/>
      <c r="I69" s="37"/>
    </row>
    <row r="70" spans="1:9" x14ac:dyDescent="0.2">
      <c r="A70" s="52">
        <f>'10 14 2018'!A69</f>
        <v>0.7605256846041093</v>
      </c>
      <c r="B70" s="18" t="s">
        <v>75</v>
      </c>
      <c r="C70" s="19"/>
      <c r="D70" s="19"/>
      <c r="E70" s="80"/>
      <c r="F70" s="19"/>
      <c r="G70" s="19"/>
      <c r="I70" s="37"/>
    </row>
    <row r="71" spans="1:9" x14ac:dyDescent="0.2">
      <c r="A71" s="18" t="s">
        <v>76</v>
      </c>
      <c r="B71" s="20"/>
      <c r="C71" s="19"/>
      <c r="D71" s="19"/>
      <c r="E71" s="80"/>
      <c r="F71" s="19"/>
      <c r="G71" s="19"/>
      <c r="I71" s="37"/>
    </row>
    <row r="72" spans="1:9" x14ac:dyDescent="0.2">
      <c r="A72" s="18" t="s">
        <v>77</v>
      </c>
      <c r="B72" s="20"/>
      <c r="C72" s="19"/>
      <c r="D72" s="19"/>
      <c r="E72" s="80"/>
      <c r="F72" s="19"/>
      <c r="G72" s="19"/>
      <c r="H72" s="37"/>
      <c r="I72" s="37"/>
    </row>
    <row r="73" spans="1:9" x14ac:dyDescent="0.2">
      <c r="A73" s="54">
        <f>'10 14 2018'!A72</f>
        <v>0.76100000000000001</v>
      </c>
      <c r="B73" s="19" t="s">
        <v>78</v>
      </c>
      <c r="E73" s="80"/>
      <c r="F73" s="19"/>
      <c r="G73" s="19"/>
      <c r="H73" s="37"/>
      <c r="I73" s="37"/>
    </row>
    <row r="74" spans="1:9" x14ac:dyDescent="0.2">
      <c r="A74" s="18"/>
      <c r="B74" s="20"/>
      <c r="C74" s="19"/>
      <c r="D74" s="19"/>
      <c r="E74" s="80"/>
      <c r="F74" s="19"/>
      <c r="G74" s="19"/>
      <c r="H74" s="37"/>
      <c r="I74" s="37"/>
    </row>
    <row r="75" spans="1:9" x14ac:dyDescent="0.2">
      <c r="G75" s="19"/>
      <c r="H75" s="37"/>
      <c r="I75" s="37"/>
    </row>
    <row r="76" spans="1:9" x14ac:dyDescent="0.2">
      <c r="A76" s="43" t="s">
        <v>79</v>
      </c>
      <c r="B76" s="51"/>
      <c r="C76" s="49">
        <v>0.7605256846041093</v>
      </c>
      <c r="D76" s="19" t="s">
        <v>206</v>
      </c>
      <c r="E76" s="80"/>
      <c r="F76" s="19"/>
      <c r="G76" s="19"/>
      <c r="H76" s="37"/>
      <c r="I76" s="55" t="s">
        <v>80</v>
      </c>
    </row>
    <row r="77" spans="1:9" x14ac:dyDescent="0.2">
      <c r="A77" s="39" t="s">
        <v>81</v>
      </c>
      <c r="B77" s="20"/>
      <c r="C77" s="19"/>
      <c r="D77" s="19"/>
      <c r="E77" s="80"/>
      <c r="F77" s="19"/>
      <c r="G77" s="19"/>
      <c r="H77" s="37"/>
      <c r="I77" s="37"/>
    </row>
    <row r="78" spans="1:9" x14ac:dyDescent="0.2">
      <c r="A78" s="39"/>
      <c r="B78" s="20"/>
      <c r="C78" s="19"/>
      <c r="D78" s="19"/>
      <c r="E78" s="80"/>
      <c r="F78" s="19"/>
      <c r="G78" s="19"/>
    </row>
    <row r="79" spans="1:9" x14ac:dyDescent="0.2">
      <c r="A79" s="56" t="s">
        <v>82</v>
      </c>
      <c r="B79" s="20"/>
      <c r="C79" s="19"/>
      <c r="D79" s="19"/>
      <c r="E79" s="80"/>
      <c r="F79" s="19"/>
      <c r="G79" s="19"/>
      <c r="H79" s="55" t="s">
        <v>83</v>
      </c>
      <c r="I79" s="54">
        <f>$C$76</f>
        <v>0.7605256846041093</v>
      </c>
    </row>
    <row r="80" spans="1:9" x14ac:dyDescent="0.2">
      <c r="A80" s="57" t="s">
        <v>85</v>
      </c>
      <c r="B80" s="19"/>
      <c r="D80" s="19"/>
      <c r="E80" s="80"/>
      <c r="F80" s="19"/>
      <c r="G80" s="19"/>
      <c r="H80" s="58"/>
      <c r="I80" s="33"/>
    </row>
    <row r="81" spans="1:15" s="33" customFormat="1" x14ac:dyDescent="0.2">
      <c r="A81" s="57" t="s">
        <v>86</v>
      </c>
      <c r="B81" s="20"/>
      <c r="C81" s="19"/>
      <c r="D81" s="19"/>
      <c r="E81" s="80"/>
      <c r="F81" s="19"/>
      <c r="G81" s="19"/>
      <c r="H81" s="58"/>
      <c r="J81" s="34"/>
      <c r="K81" s="34"/>
      <c r="M81" s="34"/>
      <c r="N81" s="34"/>
    </row>
    <row r="82" spans="1:15" s="33" customFormat="1" x14ac:dyDescent="0.2">
      <c r="A82" s="39" t="s">
        <v>87</v>
      </c>
      <c r="E82" s="83"/>
      <c r="H82" s="55"/>
      <c r="I82" s="37"/>
      <c r="J82" s="34"/>
      <c r="K82" s="34"/>
      <c r="M82" s="34"/>
      <c r="N82" s="34"/>
    </row>
    <row r="83" spans="1:15" s="33" customFormat="1" x14ac:dyDescent="0.2">
      <c r="A83" s="39"/>
      <c r="E83" s="83"/>
      <c r="H83" s="55"/>
      <c r="I83" s="37"/>
      <c r="J83" s="34"/>
      <c r="K83" s="34"/>
      <c r="M83" s="34"/>
      <c r="N83" s="34"/>
    </row>
    <row r="84" spans="1:15" x14ac:dyDescent="0.2">
      <c r="A84" s="39" t="s">
        <v>88</v>
      </c>
      <c r="B84" s="33"/>
      <c r="C84" s="33"/>
      <c r="D84" s="33"/>
      <c r="E84" s="83"/>
      <c r="F84" s="33"/>
      <c r="G84" s="33"/>
      <c r="H84" s="55" t="s">
        <v>89</v>
      </c>
      <c r="I84" s="54">
        <f>$C$76*2</f>
        <v>1.5210513692082186</v>
      </c>
    </row>
    <row r="85" spans="1:15" s="33" customFormat="1" x14ac:dyDescent="0.2">
      <c r="A85" s="57" t="s">
        <v>207</v>
      </c>
      <c r="B85" s="20"/>
      <c r="C85" s="19"/>
      <c r="D85" s="19"/>
      <c r="E85" s="80"/>
      <c r="F85" s="19"/>
      <c r="G85" s="19"/>
      <c r="H85" s="58"/>
      <c r="J85" s="34"/>
      <c r="K85" s="34"/>
      <c r="M85" s="34"/>
      <c r="N85" s="34"/>
    </row>
    <row r="86" spans="1:15" s="33" customFormat="1" x14ac:dyDescent="0.2">
      <c r="A86" s="39"/>
      <c r="E86" s="83"/>
      <c r="H86" s="1"/>
      <c r="I86" s="2"/>
      <c r="J86" s="34"/>
      <c r="K86" s="34"/>
      <c r="M86" s="34"/>
      <c r="N86" s="34"/>
    </row>
    <row r="87" spans="1:15" x14ac:dyDescent="0.2">
      <c r="A87" s="59" t="s">
        <v>93</v>
      </c>
      <c r="B87" s="33"/>
      <c r="C87" s="33"/>
      <c r="D87" s="33"/>
      <c r="E87" s="83"/>
      <c r="F87" s="33"/>
      <c r="G87" s="33"/>
      <c r="H87" s="55" t="s">
        <v>94</v>
      </c>
      <c r="I87" s="54">
        <f>$C$76*3</f>
        <v>2.2815770538123279</v>
      </c>
    </row>
    <row r="88" spans="1:15" s="33" customFormat="1" x14ac:dyDescent="0.2">
      <c r="A88" s="57" t="s">
        <v>208</v>
      </c>
      <c r="B88" s="20"/>
      <c r="C88" s="19"/>
      <c r="D88" s="19"/>
      <c r="E88" s="80"/>
      <c r="F88" s="19"/>
      <c r="G88" s="19"/>
      <c r="H88" s="58"/>
      <c r="J88" s="34"/>
      <c r="K88" s="34"/>
      <c r="M88" s="34"/>
      <c r="N88" s="34"/>
    </row>
    <row r="89" spans="1:15" s="33" customFormat="1" x14ac:dyDescent="0.2">
      <c r="A89" s="19"/>
      <c r="E89" s="83"/>
      <c r="H89" s="1"/>
      <c r="I89" s="2"/>
      <c r="J89" s="34"/>
      <c r="K89" s="34"/>
      <c r="M89" s="34"/>
      <c r="N89" s="34"/>
    </row>
    <row r="90" spans="1:15" s="5" customFormat="1" x14ac:dyDescent="0.2">
      <c r="A90" s="59" t="s">
        <v>96</v>
      </c>
      <c r="B90" s="33"/>
      <c r="C90" s="33"/>
      <c r="D90" s="33"/>
      <c r="E90" s="83"/>
      <c r="F90" s="33"/>
      <c r="G90" s="33"/>
      <c r="H90" s="55" t="s">
        <v>97</v>
      </c>
      <c r="I90" s="54">
        <f>$C$76*4</f>
        <v>3.0421027384164372</v>
      </c>
      <c r="L90" s="2"/>
      <c r="O90" s="2"/>
    </row>
    <row r="91" spans="1:15" s="5" customFormat="1" x14ac:dyDescent="0.2">
      <c r="A91" s="57" t="s">
        <v>209</v>
      </c>
      <c r="B91" s="20"/>
      <c r="C91" s="39"/>
      <c r="D91" s="19"/>
      <c r="E91" s="80"/>
      <c r="F91" s="19"/>
      <c r="G91" s="19"/>
      <c r="H91" s="55"/>
      <c r="I91" s="61"/>
      <c r="L91" s="2"/>
      <c r="O91" s="2"/>
    </row>
    <row r="92" spans="1:15" s="5" customFormat="1" x14ac:dyDescent="0.2">
      <c r="A92" s="57"/>
      <c r="B92" s="20"/>
      <c r="C92" s="39"/>
      <c r="D92" s="19"/>
      <c r="E92" s="80"/>
      <c r="F92" s="19"/>
      <c r="G92" s="19"/>
      <c r="H92" s="55"/>
      <c r="I92" s="61"/>
      <c r="L92" s="2"/>
      <c r="O92" s="2"/>
    </row>
    <row r="93" spans="1:15" s="5" customFormat="1" x14ac:dyDescent="0.2">
      <c r="A93" s="43" t="s">
        <v>210</v>
      </c>
      <c r="B93" s="33"/>
      <c r="C93" s="33"/>
      <c r="D93" s="33"/>
      <c r="E93" s="83"/>
      <c r="F93" s="33"/>
      <c r="G93" s="33"/>
      <c r="H93" s="55"/>
      <c r="I93" s="61"/>
      <c r="L93" s="2"/>
      <c r="O93" s="2"/>
    </row>
    <row r="94" spans="1:15" s="5" customFormat="1" x14ac:dyDescent="0.2">
      <c r="A94" s="101" t="s">
        <v>211</v>
      </c>
      <c r="B94" s="33"/>
      <c r="C94" s="33"/>
      <c r="D94" s="33"/>
      <c r="E94" s="83"/>
      <c r="F94" s="33"/>
      <c r="G94" s="33"/>
      <c r="H94" s="55"/>
      <c r="I94" s="61"/>
      <c r="L94" s="2"/>
      <c r="O94" s="2"/>
    </row>
    <row r="95" spans="1:15" s="5" customFormat="1" x14ac:dyDescent="0.2">
      <c r="A95" s="19" t="s">
        <v>102</v>
      </c>
      <c r="B95" s="33"/>
      <c r="C95" s="33"/>
      <c r="D95" s="33"/>
      <c r="E95" s="83"/>
      <c r="F95" s="33"/>
      <c r="G95" s="33"/>
      <c r="H95" s="55"/>
      <c r="I95" s="61"/>
      <c r="L95" s="2"/>
      <c r="O95" s="2"/>
    </row>
    <row r="96" spans="1:15" s="5" customFormat="1" x14ac:dyDescent="0.2">
      <c r="A96" s="19" t="s">
        <v>103</v>
      </c>
      <c r="B96" s="33"/>
      <c r="C96" s="33"/>
      <c r="D96" s="33"/>
      <c r="E96" s="83"/>
      <c r="F96" s="33"/>
      <c r="G96" s="33"/>
      <c r="H96" s="55"/>
      <c r="I96" s="61"/>
      <c r="L96" s="2"/>
      <c r="O96" s="2"/>
    </row>
    <row r="97" spans="1:15" s="5" customFormat="1" x14ac:dyDescent="0.2">
      <c r="A97" s="19" t="s">
        <v>104</v>
      </c>
      <c r="B97" s="33"/>
      <c r="C97" s="33"/>
      <c r="D97" s="33"/>
      <c r="E97" s="83"/>
      <c r="F97" s="33"/>
      <c r="G97" s="33"/>
      <c r="H97" s="55"/>
      <c r="I97" s="61"/>
      <c r="L97" s="2"/>
      <c r="O97" s="2"/>
    </row>
    <row r="98" spans="1:15" s="5" customFormat="1" x14ac:dyDescent="0.2">
      <c r="A98" s="19" t="s">
        <v>216</v>
      </c>
      <c r="B98" s="33"/>
      <c r="C98" s="33"/>
      <c r="D98" s="33"/>
      <c r="E98" s="83"/>
      <c r="F98" s="33"/>
      <c r="G98" s="33"/>
      <c r="H98" s="55"/>
      <c r="I98" s="61"/>
      <c r="L98" s="2"/>
      <c r="O98" s="2"/>
    </row>
    <row r="99" spans="1:15" s="5" customFormat="1" ht="13.5" customHeight="1" x14ac:dyDescent="0.2">
      <c r="A99" s="19"/>
      <c r="B99" s="33"/>
      <c r="C99" s="33"/>
      <c r="D99" s="33"/>
      <c r="E99" s="83"/>
      <c r="F99" s="33"/>
      <c r="G99" s="33"/>
      <c r="H99" s="55"/>
      <c r="I99" s="61"/>
      <c r="L99" s="2"/>
    </row>
    <row r="100" spans="1:15" s="5" customFormat="1" ht="13.5" customHeight="1" x14ac:dyDescent="0.2">
      <c r="A100" s="59" t="s">
        <v>106</v>
      </c>
      <c r="B100" s="33"/>
      <c r="C100" s="33"/>
      <c r="D100" s="33"/>
      <c r="E100" s="83"/>
      <c r="F100" s="33"/>
      <c r="G100" s="33"/>
      <c r="H100" s="55" t="s">
        <v>107</v>
      </c>
      <c r="I100" s="54">
        <f>$C$76*5</f>
        <v>3.8026284230205465</v>
      </c>
      <c r="L100" s="2"/>
    </row>
    <row r="101" spans="1:15" s="5" customFormat="1" ht="13.5" customHeight="1" x14ac:dyDescent="0.2">
      <c r="A101" s="57" t="s">
        <v>212</v>
      </c>
      <c r="B101" s="33"/>
      <c r="C101" s="33"/>
      <c r="D101" s="33"/>
      <c r="E101" s="83"/>
      <c r="F101" s="33"/>
      <c r="G101" s="33"/>
      <c r="H101" s="55"/>
      <c r="I101" s="61"/>
      <c r="L101" s="2"/>
    </row>
    <row r="102" spans="1:15" s="5" customFormat="1" ht="12.75" customHeight="1" x14ac:dyDescent="0.2">
      <c r="A102" s="19"/>
      <c r="B102" s="33"/>
      <c r="C102" s="33"/>
      <c r="D102" s="33"/>
      <c r="E102" s="83"/>
      <c r="F102" s="33"/>
      <c r="G102" s="33"/>
      <c r="H102" s="55"/>
      <c r="I102" s="61"/>
      <c r="L102" s="2"/>
    </row>
    <row r="103" spans="1:15" s="5" customFormat="1" x14ac:dyDescent="0.2">
      <c r="A103" s="59" t="s">
        <v>109</v>
      </c>
      <c r="B103" s="33"/>
      <c r="C103" s="33"/>
      <c r="D103" s="33"/>
      <c r="E103" s="83"/>
      <c r="F103" s="33"/>
      <c r="G103" s="33"/>
      <c r="H103" s="55" t="s">
        <v>110</v>
      </c>
      <c r="I103" s="54">
        <f>$C$76*6</f>
        <v>4.5631541076246558</v>
      </c>
      <c r="L103" s="2"/>
    </row>
    <row r="104" spans="1:15" s="5" customFormat="1" x14ac:dyDescent="0.2">
      <c r="A104" s="57" t="s">
        <v>213</v>
      </c>
      <c r="B104" s="33"/>
      <c r="C104" s="33"/>
      <c r="D104" s="33"/>
      <c r="E104" s="83"/>
      <c r="F104" s="33"/>
      <c r="G104" s="33"/>
      <c r="H104" s="55" t="s">
        <v>112</v>
      </c>
      <c r="I104" s="61"/>
      <c r="L104" s="2"/>
    </row>
    <row r="105" spans="1:15" s="5" customFormat="1" x14ac:dyDescent="0.2">
      <c r="A105" s="19"/>
      <c r="B105" s="33"/>
      <c r="C105" s="33"/>
      <c r="D105" s="33"/>
      <c r="E105" s="83"/>
      <c r="F105" s="33"/>
      <c r="G105" s="33"/>
      <c r="H105" s="55"/>
      <c r="I105" s="61"/>
      <c r="L105" s="2"/>
    </row>
    <row r="106" spans="1:15" s="5" customFormat="1" x14ac:dyDescent="0.2">
      <c r="A106" s="59" t="s">
        <v>113</v>
      </c>
      <c r="B106" s="33"/>
      <c r="C106" s="33"/>
      <c r="D106" s="33"/>
      <c r="E106" s="83"/>
      <c r="F106" s="33"/>
      <c r="G106" s="33"/>
      <c r="H106" s="55" t="s">
        <v>114</v>
      </c>
      <c r="I106" s="54">
        <f>$C$76*7</f>
        <v>5.3236797922287646</v>
      </c>
      <c r="L106" s="2"/>
    </row>
    <row r="107" spans="1:15" s="5" customFormat="1" x14ac:dyDescent="0.2">
      <c r="A107" s="57" t="s">
        <v>235</v>
      </c>
      <c r="B107" s="33"/>
      <c r="C107" s="33"/>
      <c r="D107" s="33"/>
      <c r="E107" s="83"/>
      <c r="F107" s="33"/>
      <c r="G107" s="33"/>
      <c r="L107" s="2"/>
    </row>
    <row r="108" spans="1:15" s="5" customFormat="1" x14ac:dyDescent="0.2">
      <c r="A108" s="19"/>
      <c r="B108" s="33"/>
      <c r="C108" s="33"/>
      <c r="D108" s="33"/>
      <c r="E108" s="83"/>
      <c r="F108" s="33"/>
      <c r="G108" s="33"/>
      <c r="L108" s="2"/>
    </row>
    <row r="109" spans="1:15" s="5" customFormat="1" x14ac:dyDescent="0.2">
      <c r="A109" s="19"/>
      <c r="B109" s="33"/>
      <c r="C109" s="33"/>
      <c r="D109" s="33"/>
      <c r="E109" s="83"/>
      <c r="F109" s="33"/>
      <c r="G109" s="33"/>
      <c r="L109" s="2"/>
    </row>
    <row r="110" spans="1:15" s="5" customFormat="1" x14ac:dyDescent="0.2">
      <c r="A110" s="19"/>
      <c r="B110" s="33"/>
      <c r="C110" s="33"/>
      <c r="D110" s="33"/>
      <c r="E110" s="83"/>
      <c r="F110" s="33"/>
      <c r="G110" s="33"/>
      <c r="L110" s="2"/>
    </row>
    <row r="111" spans="1:15" s="5" customFormat="1" x14ac:dyDescent="0.2">
      <c r="A111" s="19"/>
      <c r="B111" s="33"/>
      <c r="C111" s="33"/>
      <c r="D111" s="33"/>
      <c r="E111" s="83"/>
      <c r="F111" s="33"/>
      <c r="G111" s="33"/>
      <c r="H111" s="37"/>
      <c r="I111" s="61"/>
      <c r="L111" s="2"/>
    </row>
    <row r="112" spans="1:15" s="5" customFormat="1" x14ac:dyDescent="0.2">
      <c r="A112" s="19"/>
      <c r="B112" s="20"/>
      <c r="C112" s="39" t="s">
        <v>116</v>
      </c>
      <c r="D112" s="19"/>
      <c r="E112" s="80"/>
      <c r="F112" s="19"/>
      <c r="G112" s="19" t="s">
        <v>117</v>
      </c>
      <c r="H112" s="37"/>
      <c r="I112" s="37"/>
      <c r="L112" s="2"/>
    </row>
    <row r="113" spans="1:12" s="5" customFormat="1" x14ac:dyDescent="0.2">
      <c r="A113" s="19"/>
      <c r="B113" s="20"/>
      <c r="C113" s="39" t="s">
        <v>118</v>
      </c>
      <c r="D113" s="19"/>
      <c r="E113" s="80"/>
      <c r="F113" s="19"/>
      <c r="G113" s="19" t="s">
        <v>119</v>
      </c>
      <c r="H113" s="37"/>
      <c r="I113" s="37"/>
      <c r="L113" s="2"/>
    </row>
    <row r="114" spans="1:12" s="5" customFormat="1" x14ac:dyDescent="0.2">
      <c r="A114" s="19"/>
      <c r="B114" s="20"/>
      <c r="C114" s="39" t="s">
        <v>120</v>
      </c>
      <c r="D114" s="19"/>
      <c r="E114" s="80"/>
      <c r="F114" s="19"/>
      <c r="G114" s="19" t="s">
        <v>121</v>
      </c>
      <c r="H114" s="37"/>
      <c r="I114" s="37"/>
      <c r="L114" s="2"/>
    </row>
    <row r="115" spans="1:12" s="5" customFormat="1" x14ac:dyDescent="0.2">
      <c r="A115" s="19"/>
      <c r="B115" s="20"/>
      <c r="C115" s="39" t="s">
        <v>122</v>
      </c>
      <c r="D115" s="19"/>
      <c r="E115" s="80"/>
      <c r="F115" s="19"/>
      <c r="G115" s="19" t="s">
        <v>123</v>
      </c>
      <c r="H115" s="37"/>
      <c r="I115" s="37"/>
      <c r="L115" s="2"/>
    </row>
    <row r="116" spans="1:12" s="5" customFormat="1" x14ac:dyDescent="0.2">
      <c r="A116" s="39"/>
      <c r="B116" s="20"/>
      <c r="C116" s="39" t="s">
        <v>124</v>
      </c>
      <c r="D116" s="19"/>
      <c r="E116" s="80"/>
      <c r="F116" s="19"/>
      <c r="G116" s="19" t="s">
        <v>125</v>
      </c>
      <c r="H116" s="37"/>
      <c r="I116" s="37"/>
      <c r="L116" s="2"/>
    </row>
    <row r="117" spans="1:12" s="5" customFormat="1" x14ac:dyDescent="0.2">
      <c r="A117" s="39"/>
      <c r="B117" s="20"/>
      <c r="C117" s="39" t="s">
        <v>126</v>
      </c>
      <c r="D117" s="19"/>
      <c r="E117" s="80"/>
      <c r="F117" s="19"/>
      <c r="G117" s="19" t="s">
        <v>127</v>
      </c>
      <c r="H117" s="37"/>
      <c r="I117" s="37"/>
      <c r="L117" s="2"/>
    </row>
    <row r="118" spans="1:12" s="5" customFormat="1" x14ac:dyDescent="0.2">
      <c r="A118" s="39"/>
      <c r="B118" s="20"/>
      <c r="C118" s="19" t="s">
        <v>128</v>
      </c>
      <c r="D118" s="19"/>
      <c r="E118" s="80"/>
      <c r="F118" s="19"/>
      <c r="G118" s="19" t="s">
        <v>129</v>
      </c>
      <c r="H118" s="37"/>
      <c r="I118" s="37"/>
      <c r="L118" s="2"/>
    </row>
    <row r="119" spans="1:12" s="5" customFormat="1" x14ac:dyDescent="0.2">
      <c r="A119" s="39"/>
      <c r="B119" s="20"/>
      <c r="C119" s="19" t="s">
        <v>130</v>
      </c>
      <c r="D119" s="19"/>
      <c r="E119" s="80"/>
      <c r="F119" s="19"/>
      <c r="G119" s="19" t="s">
        <v>131</v>
      </c>
      <c r="H119" s="37"/>
      <c r="I119" s="37"/>
      <c r="L119" s="2"/>
    </row>
    <row r="120" spans="1:12" s="5" customFormat="1" x14ac:dyDescent="0.2">
      <c r="A120" s="39"/>
      <c r="B120" s="20"/>
      <c r="C120" s="19"/>
      <c r="D120" s="19"/>
      <c r="E120" s="80"/>
      <c r="F120" s="19"/>
      <c r="G120" s="19"/>
      <c r="H120" s="37"/>
      <c r="I120" s="37"/>
      <c r="L120" s="2"/>
    </row>
    <row r="121" spans="1:12" s="5" customFormat="1" x14ac:dyDescent="0.2">
      <c r="A121" s="39"/>
      <c r="B121" s="20"/>
      <c r="C121" s="19" t="s">
        <v>132</v>
      </c>
      <c r="D121" s="19"/>
      <c r="E121" s="80"/>
      <c r="F121" s="19"/>
      <c r="G121" s="19" t="s">
        <v>133</v>
      </c>
      <c r="H121" s="37"/>
      <c r="I121" s="37"/>
      <c r="L121" s="2"/>
    </row>
    <row r="122" spans="1:12" s="5" customFormat="1" x14ac:dyDescent="0.2">
      <c r="A122" s="39"/>
      <c r="B122" s="20"/>
      <c r="C122" s="19" t="s">
        <v>134</v>
      </c>
      <c r="D122" s="19"/>
      <c r="E122" s="80"/>
      <c r="F122" s="19"/>
      <c r="G122" s="19" t="s">
        <v>135</v>
      </c>
      <c r="H122" s="37"/>
      <c r="I122" s="37"/>
      <c r="L122" s="2"/>
    </row>
    <row r="123" spans="1:12" s="5" customFormat="1" x14ac:dyDescent="0.2">
      <c r="A123" s="39"/>
      <c r="B123" s="20"/>
      <c r="C123" s="19" t="s">
        <v>136</v>
      </c>
      <c r="D123" s="19"/>
      <c r="E123" s="80"/>
      <c r="F123" s="19"/>
      <c r="G123" s="19" t="s">
        <v>137</v>
      </c>
      <c r="H123" s="37"/>
      <c r="I123" s="37"/>
      <c r="L123" s="2"/>
    </row>
    <row r="124" spans="1:12" s="5" customFormat="1" x14ac:dyDescent="0.2">
      <c r="A124" s="39"/>
      <c r="B124" s="20"/>
      <c r="C124" s="19"/>
      <c r="D124" s="19"/>
      <c r="E124" s="80"/>
      <c r="F124" s="19"/>
      <c r="G124" s="19" t="s">
        <v>138</v>
      </c>
      <c r="H124" s="37"/>
      <c r="I124" s="37"/>
      <c r="L124" s="2"/>
    </row>
    <row r="125" spans="1:12" s="5" customFormat="1" x14ac:dyDescent="0.2">
      <c r="A125" s="39"/>
      <c r="B125" s="20"/>
      <c r="C125" s="19"/>
      <c r="D125" s="19"/>
      <c r="E125" s="80"/>
      <c r="F125" s="19"/>
      <c r="G125" s="19"/>
      <c r="H125" s="37"/>
      <c r="I125" s="37"/>
      <c r="L125" s="2"/>
    </row>
    <row r="126" spans="1:12" s="5" customFormat="1" x14ac:dyDescent="0.2">
      <c r="A126" s="39"/>
      <c r="B126" s="20"/>
      <c r="C126" s="19"/>
      <c r="D126" s="19"/>
      <c r="E126" s="80"/>
      <c r="F126" s="19"/>
      <c r="G126" s="19"/>
      <c r="H126" s="37"/>
      <c r="I126" s="37"/>
      <c r="L126" s="2"/>
    </row>
    <row r="127" spans="1:12" s="5" customFormat="1" x14ac:dyDescent="0.2">
      <c r="A127" s="39"/>
      <c r="B127" s="20"/>
      <c r="C127" s="41" t="s">
        <v>240</v>
      </c>
      <c r="D127" s="41"/>
      <c r="E127" s="85"/>
      <c r="F127" s="41"/>
      <c r="G127" s="41"/>
      <c r="H127" s="63"/>
      <c r="I127" s="63"/>
      <c r="L127" s="2"/>
    </row>
    <row r="128" spans="1:12" s="5" customFormat="1" x14ac:dyDescent="0.2">
      <c r="A128" s="39"/>
      <c r="B128" s="20"/>
      <c r="C128" s="41" t="s">
        <v>140</v>
      </c>
      <c r="D128" s="41"/>
      <c r="E128" s="85"/>
      <c r="F128" s="41"/>
      <c r="G128" s="41"/>
      <c r="H128" s="63"/>
      <c r="I128" s="63"/>
      <c r="L128" s="2"/>
    </row>
    <row r="129" spans="1:14" s="5" customFormat="1" x14ac:dyDescent="0.2">
      <c r="A129" s="39"/>
      <c r="B129" s="20"/>
      <c r="C129" s="41" t="s">
        <v>141</v>
      </c>
      <c r="D129" s="41"/>
      <c r="E129" s="85"/>
      <c r="F129" s="41"/>
      <c r="G129" s="41"/>
      <c r="H129" s="63"/>
      <c r="I129" s="63"/>
      <c r="L129" s="2"/>
    </row>
    <row r="130" spans="1:14" s="5" customFormat="1" x14ac:dyDescent="0.2">
      <c r="A130" s="39"/>
      <c r="B130" s="20"/>
      <c r="C130" s="41" t="s">
        <v>142</v>
      </c>
      <c r="D130" s="41"/>
      <c r="E130" s="85"/>
      <c r="F130" s="41"/>
      <c r="G130" s="41"/>
      <c r="H130" s="63"/>
      <c r="I130" s="63"/>
      <c r="L130" s="2"/>
    </row>
    <row r="131" spans="1:14" s="5" customFormat="1" x14ac:dyDescent="0.2">
      <c r="A131" s="39"/>
      <c r="B131" s="20"/>
      <c r="C131" s="41" t="s">
        <v>243</v>
      </c>
      <c r="D131" s="41"/>
      <c r="E131" s="85"/>
      <c r="F131" s="41"/>
      <c r="G131" s="41"/>
      <c r="H131" s="63"/>
      <c r="I131" s="63"/>
      <c r="L131" s="2"/>
    </row>
    <row r="132" spans="1:14" s="5" customFormat="1" x14ac:dyDescent="0.2">
      <c r="A132" s="39"/>
      <c r="B132" s="20"/>
      <c r="C132" s="41" t="s">
        <v>144</v>
      </c>
      <c r="D132" s="41"/>
      <c r="E132" s="85"/>
      <c r="F132" s="41"/>
      <c r="G132" s="41"/>
      <c r="H132" s="63"/>
      <c r="I132" s="63"/>
      <c r="L132" s="2"/>
    </row>
    <row r="133" spans="1:14" s="5" customFormat="1" ht="13.5" customHeight="1" x14ac:dyDescent="0.2">
      <c r="A133" s="2"/>
      <c r="B133" s="2"/>
      <c r="C133" s="41" t="s">
        <v>145</v>
      </c>
      <c r="D133" s="41"/>
      <c r="E133" s="85"/>
      <c r="F133" s="41"/>
      <c r="G133" s="41"/>
      <c r="H133" s="63"/>
      <c r="I133" s="63"/>
      <c r="L133" s="2"/>
    </row>
    <row r="134" spans="1:14" s="5" customFormat="1" x14ac:dyDescent="0.2">
      <c r="A134" s="2"/>
      <c r="B134" s="2"/>
      <c r="C134" s="41" t="s">
        <v>146</v>
      </c>
      <c r="D134" s="19"/>
      <c r="E134" s="80"/>
      <c r="F134" s="19"/>
      <c r="G134" s="19"/>
      <c r="H134" s="37"/>
      <c r="I134" s="37"/>
      <c r="L134" s="2"/>
    </row>
    <row r="135" spans="1:14" s="5" customFormat="1" x14ac:dyDescent="0.2">
      <c r="A135" s="2"/>
      <c r="B135" s="2"/>
      <c r="C135" s="41"/>
      <c r="D135" s="19"/>
      <c r="E135" s="80"/>
      <c r="F135" s="19"/>
      <c r="G135" s="19"/>
      <c r="H135" s="37"/>
      <c r="I135" s="37"/>
      <c r="L135" s="2"/>
    </row>
    <row r="136" spans="1:14" s="5" customFormat="1" x14ac:dyDescent="0.2">
      <c r="A136" s="2"/>
      <c r="B136" s="64"/>
      <c r="C136" s="64"/>
      <c r="D136" s="64"/>
      <c r="E136" s="86"/>
      <c r="F136" s="64"/>
      <c r="G136" s="64"/>
      <c r="H136" s="64"/>
      <c r="I136" s="64"/>
      <c r="L136" s="2"/>
    </row>
    <row r="138" spans="1:14" x14ac:dyDescent="0.2">
      <c r="C138" s="41"/>
      <c r="D138" s="19"/>
      <c r="E138" s="80"/>
      <c r="F138" s="19"/>
      <c r="G138" s="19"/>
      <c r="H138" s="37"/>
      <c r="I138" s="37"/>
    </row>
    <row r="139" spans="1:14" x14ac:dyDescent="0.2">
      <c r="A139" s="43" t="s">
        <v>147</v>
      </c>
      <c r="B139" s="33"/>
      <c r="C139" s="33"/>
      <c r="D139" s="33"/>
      <c r="E139" s="83"/>
      <c r="F139" s="33"/>
      <c r="G139" s="33"/>
      <c r="H139" s="33"/>
      <c r="I139" s="33"/>
    </row>
    <row r="140" spans="1:14" s="33" customFormat="1" x14ac:dyDescent="0.2">
      <c r="A140" s="19" t="s">
        <v>228</v>
      </c>
      <c r="B140" s="20"/>
      <c r="C140" s="19"/>
      <c r="D140" s="19"/>
      <c r="E140" s="80"/>
      <c r="F140" s="19"/>
      <c r="G140" s="19"/>
      <c r="H140" s="2"/>
      <c r="I140" s="54">
        <f>'10 14 2018'!I137*1.025</f>
        <v>0.98333516302856383</v>
      </c>
      <c r="J140" s="34"/>
      <c r="K140" s="34"/>
      <c r="M140" s="34"/>
      <c r="N140" s="34"/>
    </row>
    <row r="141" spans="1:14" x14ac:dyDescent="0.2">
      <c r="A141" s="19" t="s">
        <v>150</v>
      </c>
      <c r="B141" s="20"/>
      <c r="C141" s="19"/>
      <c r="D141" s="19"/>
      <c r="E141" s="80"/>
      <c r="F141" s="19"/>
      <c r="G141" s="19"/>
      <c r="I141" s="54">
        <f>'10 14 2018'!I138*1.025</f>
        <v>0.98333516302856383</v>
      </c>
    </row>
    <row r="142" spans="1:14" x14ac:dyDescent="0.2">
      <c r="A142" s="19" t="s">
        <v>152</v>
      </c>
      <c r="B142" s="33"/>
      <c r="C142" s="33"/>
      <c r="D142" s="33"/>
      <c r="E142" s="83"/>
      <c r="F142" s="33"/>
      <c r="G142" s="33"/>
      <c r="H142" s="33"/>
      <c r="I142" s="33"/>
    </row>
    <row r="143" spans="1:14" s="33" customFormat="1" ht="6.75" customHeight="1" x14ac:dyDescent="0.2">
      <c r="A143" s="39"/>
      <c r="E143" s="83"/>
      <c r="J143" s="34"/>
      <c r="K143" s="34"/>
      <c r="M143" s="34"/>
      <c r="N143" s="34"/>
    </row>
    <row r="144" spans="1:14" s="33" customFormat="1" x14ac:dyDescent="0.2">
      <c r="A144" s="43" t="s">
        <v>153</v>
      </c>
      <c r="B144" s="20"/>
      <c r="C144" s="19"/>
      <c r="D144" s="19"/>
      <c r="E144" s="80"/>
      <c r="F144" s="19"/>
      <c r="G144" s="19"/>
      <c r="H144" s="37"/>
      <c r="I144" s="37"/>
      <c r="J144" s="34"/>
      <c r="K144" s="34"/>
      <c r="M144" s="34"/>
      <c r="N144" s="34"/>
    </row>
    <row r="145" spans="1:14" x14ac:dyDescent="0.2">
      <c r="A145" s="33" t="s">
        <v>154</v>
      </c>
      <c r="B145" s="20"/>
      <c r="C145" s="19"/>
      <c r="D145" s="19"/>
      <c r="E145" s="80"/>
      <c r="F145" s="19"/>
      <c r="G145" s="19"/>
      <c r="H145" s="37"/>
      <c r="I145" s="37"/>
    </row>
    <row r="146" spans="1:14" x14ac:dyDescent="0.2">
      <c r="A146" s="52">
        <f>'10 14 2018'!A143*1.025</f>
        <v>0.47301568014195622</v>
      </c>
      <c r="B146" s="66" t="s">
        <v>155</v>
      </c>
      <c r="C146" s="33"/>
      <c r="D146" s="33"/>
      <c r="E146" s="83"/>
      <c r="F146" s="33"/>
      <c r="G146" s="33"/>
      <c r="H146" s="33"/>
      <c r="I146" s="33"/>
    </row>
    <row r="147" spans="1:14" x14ac:dyDescent="0.2">
      <c r="A147" s="67" t="s">
        <v>156</v>
      </c>
      <c r="B147" s="33"/>
      <c r="C147" s="33"/>
      <c r="D147" s="33"/>
      <c r="E147" s="83"/>
      <c r="F147" s="33"/>
      <c r="G147" s="33"/>
      <c r="H147" s="33"/>
      <c r="I147" s="33"/>
    </row>
    <row r="148" spans="1:14" s="33" customFormat="1" x14ac:dyDescent="0.2">
      <c r="A148" s="67" t="s">
        <v>157</v>
      </c>
      <c r="E148" s="83"/>
      <c r="J148" s="34"/>
      <c r="K148" s="34"/>
      <c r="M148" s="34"/>
      <c r="N148" s="34"/>
    </row>
    <row r="149" spans="1:14" s="33" customFormat="1" x14ac:dyDescent="0.2">
      <c r="A149" s="39"/>
      <c r="B149" s="66"/>
      <c r="C149" s="66"/>
      <c r="E149" s="83"/>
      <c r="J149" s="34"/>
      <c r="K149" s="34"/>
      <c r="M149" s="34"/>
      <c r="N149" s="34"/>
    </row>
    <row r="150" spans="1:14" s="33" customFormat="1" x14ac:dyDescent="0.2">
      <c r="A150" s="56" t="s">
        <v>158</v>
      </c>
      <c r="E150" s="83"/>
      <c r="J150" s="34"/>
      <c r="K150" s="34"/>
      <c r="M150" s="34"/>
      <c r="N150" s="34"/>
    </row>
    <row r="151" spans="1:14" s="33" customFormat="1" x14ac:dyDescent="0.2">
      <c r="A151" s="33" t="s">
        <v>159</v>
      </c>
      <c r="B151" s="20"/>
      <c r="C151" s="68"/>
      <c r="D151" s="19"/>
      <c r="E151" s="80"/>
      <c r="F151" s="19"/>
      <c r="G151" s="19"/>
      <c r="I151" s="37"/>
      <c r="J151" s="34"/>
      <c r="K151" s="34"/>
      <c r="M151" s="34"/>
      <c r="N151" s="34"/>
    </row>
    <row r="152" spans="1:14" x14ac:dyDescent="0.2">
      <c r="A152" s="33" t="s">
        <v>160</v>
      </c>
      <c r="B152" s="19"/>
      <c r="C152" s="19"/>
      <c r="D152" s="19"/>
      <c r="E152" s="80"/>
      <c r="F152" s="19"/>
      <c r="G152" s="19"/>
      <c r="H152" s="37"/>
      <c r="I152" s="37"/>
    </row>
    <row r="153" spans="1:14" x14ac:dyDescent="0.2">
      <c r="A153" s="33" t="s">
        <v>161</v>
      </c>
      <c r="B153" s="69"/>
      <c r="C153" s="41"/>
      <c r="D153" s="41"/>
      <c r="E153" s="85"/>
      <c r="F153" s="41"/>
      <c r="G153" s="41"/>
      <c r="H153" s="63"/>
      <c r="I153" s="63"/>
    </row>
    <row r="154" spans="1:14" x14ac:dyDescent="0.2">
      <c r="A154" s="33" t="s">
        <v>238</v>
      </c>
      <c r="B154" s="69"/>
      <c r="C154" s="41"/>
      <c r="D154" s="41"/>
      <c r="E154" s="85"/>
      <c r="F154" s="41"/>
      <c r="G154" s="41"/>
      <c r="H154" s="63"/>
      <c r="I154" s="63"/>
    </row>
    <row r="155" spans="1:14" x14ac:dyDescent="0.2">
      <c r="A155" s="33" t="s">
        <v>163</v>
      </c>
      <c r="B155" s="69"/>
      <c r="C155" s="41"/>
      <c r="D155" s="41"/>
      <c r="E155" s="85"/>
      <c r="F155" s="41"/>
      <c r="G155" s="41"/>
      <c r="H155" s="63"/>
      <c r="I155" s="63"/>
    </row>
    <row r="156" spans="1:14" x14ac:dyDescent="0.2">
      <c r="A156" s="33" t="s">
        <v>164</v>
      </c>
      <c r="B156" s="69"/>
      <c r="C156" s="41"/>
      <c r="D156" s="41"/>
      <c r="E156" s="85"/>
      <c r="F156" s="41"/>
      <c r="G156" s="41"/>
      <c r="H156" s="63"/>
      <c r="I156" s="63"/>
    </row>
    <row r="157" spans="1:14" x14ac:dyDescent="0.2">
      <c r="A157" s="19" t="s">
        <v>239</v>
      </c>
      <c r="B157" s="69"/>
      <c r="C157" s="41"/>
      <c r="D157" s="41"/>
      <c r="E157" s="85"/>
      <c r="F157" s="41"/>
      <c r="G157" s="41"/>
      <c r="H157" s="63"/>
      <c r="I157" s="63"/>
    </row>
    <row r="158" spans="1:14" x14ac:dyDescent="0.2">
      <c r="A158" s="19"/>
      <c r="B158" s="69"/>
      <c r="C158" s="41"/>
      <c r="D158" s="41"/>
      <c r="E158" s="85"/>
      <c r="F158" s="41"/>
      <c r="G158" s="41"/>
      <c r="H158" s="63"/>
      <c r="I158" s="63"/>
    </row>
    <row r="159" spans="1:14" x14ac:dyDescent="0.2">
      <c r="A159" s="70" t="s">
        <v>166</v>
      </c>
      <c r="B159" s="69"/>
      <c r="C159" s="41"/>
      <c r="D159" s="41"/>
      <c r="E159" s="85"/>
      <c r="F159" s="41"/>
      <c r="G159" s="41"/>
      <c r="H159" s="63"/>
      <c r="I159" s="63"/>
    </row>
    <row r="160" spans="1:14" x14ac:dyDescent="0.2">
      <c r="A160" s="39" t="s">
        <v>167</v>
      </c>
      <c r="B160" s="69"/>
      <c r="C160" s="41"/>
      <c r="D160" s="41"/>
      <c r="E160" s="85"/>
      <c r="F160" s="41"/>
      <c r="G160" s="41"/>
      <c r="H160" s="37"/>
      <c r="I160" s="37"/>
    </row>
    <row r="161" spans="1:14" x14ac:dyDescent="0.2">
      <c r="A161" s="71"/>
      <c r="B161" s="20"/>
      <c r="C161" s="19"/>
      <c r="D161" s="19"/>
      <c r="E161" s="80"/>
      <c r="F161" s="19"/>
      <c r="G161" s="19"/>
      <c r="H161" s="37"/>
      <c r="I161" s="37"/>
    </row>
    <row r="162" spans="1:14" x14ac:dyDescent="0.2">
      <c r="A162" s="70" t="s">
        <v>168</v>
      </c>
      <c r="B162" s="20"/>
      <c r="C162" s="19"/>
      <c r="D162" s="19"/>
      <c r="E162" s="80"/>
      <c r="F162" s="19"/>
      <c r="G162" s="19"/>
      <c r="H162" s="37"/>
      <c r="I162" s="37"/>
    </row>
    <row r="163" spans="1:14" x14ac:dyDescent="0.2">
      <c r="A163" s="102" t="s">
        <v>218</v>
      </c>
      <c r="B163" s="20"/>
      <c r="C163" s="19"/>
      <c r="D163" s="19"/>
      <c r="E163" s="80"/>
      <c r="F163" s="19"/>
      <c r="G163" s="19"/>
      <c r="H163" s="37"/>
      <c r="I163" s="37"/>
    </row>
    <row r="164" spans="1:14" x14ac:dyDescent="0.2">
      <c r="A164" s="102" t="s">
        <v>222</v>
      </c>
      <c r="B164" s="20"/>
      <c r="C164" s="19"/>
      <c r="D164" s="19"/>
      <c r="E164" s="80"/>
      <c r="F164" s="19"/>
      <c r="G164" s="19"/>
      <c r="H164" s="37"/>
      <c r="I164" s="37"/>
    </row>
    <row r="165" spans="1:14" x14ac:dyDescent="0.2">
      <c r="A165" s="19" t="s">
        <v>220</v>
      </c>
      <c r="B165" s="20"/>
      <c r="C165" s="19"/>
      <c r="D165" s="19"/>
      <c r="E165" s="80"/>
      <c r="F165" s="19"/>
      <c r="G165" s="19"/>
      <c r="H165" s="37"/>
      <c r="I165" s="37"/>
    </row>
    <row r="166" spans="1:14" x14ac:dyDescent="0.2">
      <c r="A166" s="19" t="s">
        <v>221</v>
      </c>
      <c r="B166" s="20"/>
      <c r="C166" s="19"/>
      <c r="D166" s="19"/>
      <c r="E166" s="80"/>
      <c r="F166" s="19"/>
      <c r="G166" s="19"/>
      <c r="H166" s="37"/>
      <c r="I166" s="37"/>
    </row>
    <row r="167" spans="1:14" x14ac:dyDescent="0.2">
      <c r="A167" s="72"/>
      <c r="B167" s="33"/>
      <c r="C167" s="33"/>
      <c r="D167" s="33"/>
      <c r="E167" s="83"/>
      <c r="F167" s="33"/>
      <c r="G167" s="33"/>
      <c r="H167" s="33"/>
      <c r="I167" s="33"/>
    </row>
    <row r="168" spans="1:14" x14ac:dyDescent="0.2">
      <c r="A168" s="70" t="s">
        <v>171</v>
      </c>
      <c r="B168" s="33"/>
      <c r="C168" s="33"/>
      <c r="D168" s="33"/>
      <c r="E168" s="83"/>
      <c r="F168" s="33"/>
      <c r="G168" s="33"/>
      <c r="H168" s="33"/>
      <c r="I168" s="33"/>
    </row>
    <row r="169" spans="1:14" s="33" customFormat="1" x14ac:dyDescent="0.2">
      <c r="A169" s="57" t="s">
        <v>217</v>
      </c>
      <c r="E169" s="83"/>
      <c r="J169" s="34"/>
      <c r="K169" s="34"/>
      <c r="M169" s="34"/>
      <c r="N169" s="34"/>
    </row>
    <row r="170" spans="1:14" s="33" customFormat="1" x14ac:dyDescent="0.2">
      <c r="A170" s="72" t="s">
        <v>173</v>
      </c>
      <c r="B170" s="72"/>
      <c r="C170" s="72"/>
      <c r="D170" s="72"/>
      <c r="E170" s="87"/>
      <c r="F170" s="73"/>
      <c r="G170" s="73"/>
      <c r="H170" s="37"/>
      <c r="I170" s="37"/>
      <c r="J170" s="34"/>
      <c r="K170" s="34"/>
      <c r="M170" s="34"/>
      <c r="N170" s="34"/>
    </row>
    <row r="171" spans="1:14" x14ac:dyDescent="0.2">
      <c r="A171" s="52">
        <f>'10 14 2018'!A168*1.025</f>
        <v>0.24433125462803343</v>
      </c>
      <c r="B171" s="57" t="s">
        <v>174</v>
      </c>
      <c r="C171" s="72"/>
      <c r="D171" s="72"/>
      <c r="E171" s="87"/>
      <c r="F171" s="73"/>
      <c r="G171" s="73"/>
      <c r="H171" s="37"/>
      <c r="I171" s="37"/>
    </row>
    <row r="172" spans="1:14" s="5" customFormat="1" x14ac:dyDescent="0.2">
      <c r="A172" s="52">
        <f>'10 14 2018'!A169*1.025</f>
        <v>0.41042836368551427</v>
      </c>
      <c r="B172" s="57" t="s">
        <v>175</v>
      </c>
      <c r="C172" s="72"/>
      <c r="D172" s="72"/>
      <c r="E172" s="87"/>
      <c r="F172" s="73"/>
      <c r="G172" s="73"/>
      <c r="H172" s="37"/>
      <c r="I172" s="37"/>
      <c r="L172" s="2"/>
    </row>
    <row r="173" spans="1:14" s="5" customFormat="1" x14ac:dyDescent="0.2">
      <c r="A173" s="52">
        <f>'10 14 2018'!A170*1.025</f>
        <v>0.48625530477697287</v>
      </c>
      <c r="B173" s="57" t="s">
        <v>176</v>
      </c>
      <c r="C173" s="72"/>
      <c r="D173" s="72"/>
      <c r="E173" s="87"/>
      <c r="F173" s="73"/>
      <c r="G173" s="73"/>
      <c r="H173" s="37"/>
      <c r="I173" s="37"/>
      <c r="L173" s="2"/>
    </row>
    <row r="174" spans="1:14" s="5" customFormat="1" x14ac:dyDescent="0.2">
      <c r="A174" s="52">
        <f>'10 14 2018'!A171*1.025</f>
        <v>0.69808929893723837</v>
      </c>
      <c r="B174" s="57" t="s">
        <v>177</v>
      </c>
      <c r="C174" s="72"/>
      <c r="D174" s="72"/>
      <c r="E174" s="87"/>
      <c r="F174" s="73"/>
      <c r="G174" s="73"/>
      <c r="H174" s="37"/>
      <c r="I174" s="37"/>
      <c r="L174" s="2"/>
    </row>
    <row r="175" spans="1:14" s="5" customFormat="1" x14ac:dyDescent="0.2">
      <c r="A175" s="53"/>
      <c r="B175" s="57"/>
      <c r="C175" s="72"/>
      <c r="D175" s="72"/>
      <c r="E175" s="87"/>
      <c r="F175" s="73"/>
      <c r="G175" s="73"/>
      <c r="H175" s="37"/>
      <c r="I175" s="37"/>
      <c r="L175" s="2"/>
    </row>
    <row r="176" spans="1:14" s="5" customFormat="1" x14ac:dyDescent="0.2">
      <c r="A176" s="70" t="s">
        <v>178</v>
      </c>
      <c r="B176" s="2"/>
      <c r="C176" s="2"/>
      <c r="D176" s="2"/>
      <c r="E176" s="77"/>
      <c r="F176" s="2"/>
      <c r="G176" s="2"/>
      <c r="H176" s="2"/>
      <c r="I176" s="2"/>
      <c r="L176" s="2"/>
    </row>
    <row r="177" spans="1:12" s="5" customFormat="1" x14ac:dyDescent="0.2">
      <c r="A177" s="74" t="s">
        <v>179</v>
      </c>
      <c r="B177" s="2"/>
      <c r="C177" s="2"/>
      <c r="D177" s="2"/>
      <c r="E177" s="77"/>
      <c r="F177" s="2"/>
      <c r="G177" s="2"/>
      <c r="H177" s="2"/>
      <c r="I177" s="2"/>
      <c r="L177" s="2"/>
    </row>
    <row r="178" spans="1:12" s="5" customFormat="1" x14ac:dyDescent="0.2">
      <c r="A178" s="74" t="s">
        <v>202</v>
      </c>
      <c r="B178" s="2"/>
      <c r="C178" s="2"/>
      <c r="D178" s="2"/>
      <c r="E178" s="77"/>
      <c r="F178" s="2"/>
      <c r="G178" s="2"/>
      <c r="H178" s="2"/>
      <c r="I178" s="2"/>
      <c r="L178" s="2"/>
    </row>
    <row r="179" spans="1:12" s="5" customFormat="1" x14ac:dyDescent="0.2">
      <c r="A179" s="74"/>
      <c r="B179" s="2"/>
      <c r="C179" s="2"/>
      <c r="D179" s="2"/>
      <c r="E179" s="77"/>
      <c r="F179" s="2"/>
      <c r="G179" s="2"/>
      <c r="H179" s="2"/>
      <c r="I179" s="2"/>
      <c r="L179" s="2"/>
    </row>
    <row r="181" spans="1:12" x14ac:dyDescent="0.2">
      <c r="A181" s="70" t="s">
        <v>199</v>
      </c>
    </row>
  </sheetData>
  <printOptions gridLines="1"/>
  <pageMargins left="0.25" right="0.25" top="0.75" bottom="0.75" header="0.3" footer="0.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indexed="34"/>
  </sheetPr>
  <dimension ref="A1:Q177"/>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0.42578125" style="2" customWidth="1"/>
    <col min="7" max="7" width="10.5703125" style="2" customWidth="1"/>
    <col min="8" max="8" width="13.5703125" style="2" customWidth="1"/>
    <col min="9" max="9" width="16.42578125" style="2" bestFit="1" customWidth="1"/>
    <col min="10" max="10" width="7.85546875" style="2" customWidth="1"/>
    <col min="11" max="16" width="9.140625" style="5"/>
    <col min="17" max="16384" width="9.140625" style="2"/>
  </cols>
  <sheetData>
    <row r="1" spans="1:17" ht="15.75" x14ac:dyDescent="0.25">
      <c r="A1" s="89" t="s">
        <v>0</v>
      </c>
      <c r="D1" s="3"/>
      <c r="I1" s="4"/>
      <c r="J1" s="4"/>
    </row>
    <row r="2" spans="1:17" ht="15.75" x14ac:dyDescent="0.25">
      <c r="A2" s="89" t="s">
        <v>203</v>
      </c>
      <c r="D2" s="3"/>
      <c r="I2" s="4"/>
      <c r="J2" s="4"/>
      <c r="K2" s="6"/>
    </row>
    <row r="3" spans="1:17" x14ac:dyDescent="0.2">
      <c r="A3" s="1"/>
      <c r="D3" s="3"/>
      <c r="I3" s="4"/>
      <c r="J3" s="4"/>
    </row>
    <row r="4" spans="1:17" ht="25.5" x14ac:dyDescent="0.2">
      <c r="A4" s="7" t="s">
        <v>4</v>
      </c>
      <c r="B4" s="7" t="s">
        <v>183</v>
      </c>
      <c r="C4" s="7" t="s">
        <v>185</v>
      </c>
      <c r="D4" s="8" t="s">
        <v>5</v>
      </c>
      <c r="E4" s="78" t="s">
        <v>6</v>
      </c>
      <c r="F4" s="7" t="s">
        <v>7</v>
      </c>
      <c r="G4" s="7" t="s">
        <v>8</v>
      </c>
      <c r="H4" s="9" t="s">
        <v>191</v>
      </c>
      <c r="I4" s="10" t="s">
        <v>10</v>
      </c>
      <c r="J4" s="10"/>
      <c r="K4" s="11"/>
      <c r="L4" s="12"/>
      <c r="M4" s="13"/>
      <c r="N4" s="13"/>
    </row>
    <row r="5" spans="1:17" ht="29.25" customHeight="1" x14ac:dyDescent="0.2">
      <c r="A5" s="4" t="s">
        <v>12</v>
      </c>
      <c r="B5" s="4" t="s">
        <v>184</v>
      </c>
      <c r="C5" s="4">
        <v>21</v>
      </c>
      <c r="D5" s="14" t="s">
        <v>13</v>
      </c>
      <c r="E5" s="79">
        <v>303</v>
      </c>
      <c r="F5" s="4">
        <v>6</v>
      </c>
      <c r="G5" s="4" t="s">
        <v>14</v>
      </c>
      <c r="H5" s="15">
        <f>((('1 1 2019'!H5+1)*1.025)-1)</f>
        <v>29.068113322024274</v>
      </c>
      <c r="I5" s="15">
        <f>((('1 1 2019'!I5+1.5)*1.025)-1.5)</f>
        <v>30.332448151317774</v>
      </c>
      <c r="J5" s="4"/>
      <c r="K5" s="93"/>
      <c r="L5" s="94"/>
      <c r="M5" s="16"/>
      <c r="N5" s="16"/>
    </row>
    <row r="6" spans="1:17" x14ac:dyDescent="0.2">
      <c r="A6" s="4" t="s">
        <v>15</v>
      </c>
      <c r="B6" s="4" t="s">
        <v>184</v>
      </c>
      <c r="C6" s="75" t="s">
        <v>196</v>
      </c>
      <c r="D6" s="3" t="s">
        <v>16</v>
      </c>
      <c r="E6" s="79">
        <v>283</v>
      </c>
      <c r="F6" s="4">
        <v>6</v>
      </c>
      <c r="G6" s="4" t="s">
        <v>14</v>
      </c>
      <c r="H6" s="15">
        <f>((('1 1 2019'!H6+1)*1.025)-1)</f>
        <v>27.128071712181956</v>
      </c>
      <c r="I6" s="15">
        <f>((('1 1 2019'!I6+1.5)*1.025)-1.5)</f>
        <v>29.497891598455446</v>
      </c>
      <c r="J6" s="4"/>
      <c r="K6" s="93"/>
      <c r="L6" s="94"/>
      <c r="M6" s="16"/>
      <c r="P6" s="2"/>
    </row>
    <row r="7" spans="1:17" x14ac:dyDescent="0.2">
      <c r="A7" s="4" t="s">
        <v>17</v>
      </c>
      <c r="B7" s="4" t="s">
        <v>184</v>
      </c>
      <c r="C7" s="75" t="s">
        <v>194</v>
      </c>
      <c r="D7" s="3" t="s">
        <v>18</v>
      </c>
      <c r="E7" s="79">
        <v>335</v>
      </c>
      <c r="F7" s="4">
        <v>7</v>
      </c>
      <c r="G7" s="4" t="s">
        <v>14</v>
      </c>
      <c r="H7" s="15">
        <f>((('1 1 2019'!H8+1)*1.025)-1)</f>
        <v>31.649191124644908</v>
      </c>
      <c r="I7" s="15">
        <f>((('1 1 2019'!I8+1.5)*1.025)-1.5)</f>
        <v>34.190760330492957</v>
      </c>
      <c r="J7" s="4"/>
      <c r="K7" s="93"/>
      <c r="L7" s="94"/>
      <c r="M7" s="16"/>
      <c r="P7" s="2"/>
    </row>
    <row r="8" spans="1:17" x14ac:dyDescent="0.2">
      <c r="A8" s="4" t="s">
        <v>19</v>
      </c>
      <c r="B8" s="4" t="s">
        <v>184</v>
      </c>
      <c r="C8" s="75" t="s">
        <v>197</v>
      </c>
      <c r="D8" s="3" t="s">
        <v>20</v>
      </c>
      <c r="E8" s="79">
        <v>393</v>
      </c>
      <c r="F8" s="4">
        <v>8</v>
      </c>
      <c r="G8" s="4" t="s">
        <v>14</v>
      </c>
      <c r="H8" s="15">
        <f>((('1 1 2019'!H9+1)*1.025)-1)</f>
        <v>34.320981596054928</v>
      </c>
      <c r="I8" s="15">
        <f>((('1 1 2019'!I9+1.5)*1.025)-1.5)</f>
        <v>37.691059843512697</v>
      </c>
      <c r="J8" s="4"/>
      <c r="K8" s="93"/>
      <c r="L8" s="94"/>
      <c r="M8" s="16"/>
      <c r="P8" s="2"/>
    </row>
    <row r="9" spans="1:17" x14ac:dyDescent="0.2">
      <c r="A9" s="4" t="s">
        <v>21</v>
      </c>
      <c r="B9" s="4" t="s">
        <v>184</v>
      </c>
      <c r="C9" s="75" t="s">
        <v>193</v>
      </c>
      <c r="D9" s="14" t="s">
        <v>22</v>
      </c>
      <c r="E9" s="79">
        <v>295</v>
      </c>
      <c r="F9" s="4">
        <v>6</v>
      </c>
      <c r="G9" s="4" t="s">
        <v>14</v>
      </c>
      <c r="H9" s="15">
        <f>((('1 1 2019'!H10+1)*1.025)-1)</f>
        <v>28.00858935056425</v>
      </c>
      <c r="I9" s="15">
        <f>((('1 1 2019'!I10+1.5)*1.025)-1.5)</f>
        <v>30.034910597688597</v>
      </c>
      <c r="J9" s="4"/>
      <c r="K9" s="93"/>
      <c r="L9" s="94"/>
      <c r="M9" s="16"/>
      <c r="P9" s="2"/>
    </row>
    <row r="10" spans="1:17" x14ac:dyDescent="0.2">
      <c r="A10" s="4" t="s">
        <v>23</v>
      </c>
      <c r="B10" s="4" t="s">
        <v>184</v>
      </c>
      <c r="C10" s="75" t="s">
        <v>192</v>
      </c>
      <c r="D10" s="3" t="s">
        <v>214</v>
      </c>
      <c r="E10" s="79">
        <v>295</v>
      </c>
      <c r="F10" s="4">
        <v>6</v>
      </c>
      <c r="G10" s="4" t="s">
        <v>14</v>
      </c>
      <c r="H10" s="15">
        <f>((('1 1 2019'!H12+1)*1.025)-1)</f>
        <v>29.068113322024274</v>
      </c>
      <c r="I10" s="15">
        <f>((('1 1 2019'!I12+1.5)*1.025)-1.5)</f>
        <v>30.332448151317774</v>
      </c>
      <c r="J10" s="4"/>
      <c r="K10" s="93"/>
      <c r="L10" s="94"/>
      <c r="M10" s="16"/>
      <c r="N10" s="16"/>
    </row>
    <row r="11" spans="1:17" x14ac:dyDescent="0.2">
      <c r="A11" s="4" t="s">
        <v>25</v>
      </c>
      <c r="B11" s="4" t="s">
        <v>184</v>
      </c>
      <c r="C11" s="75" t="s">
        <v>195</v>
      </c>
      <c r="D11" s="3" t="s">
        <v>26</v>
      </c>
      <c r="E11" s="79">
        <v>285</v>
      </c>
      <c r="F11" s="4">
        <v>6</v>
      </c>
      <c r="G11" s="4" t="s">
        <v>14</v>
      </c>
      <c r="H11" s="4" t="s">
        <v>27</v>
      </c>
      <c r="I11" s="15">
        <f>((('1 1 2019'!I13+1.5)*1.025)-1.5)</f>
        <v>31.983335718228183</v>
      </c>
      <c r="J11" s="4"/>
      <c r="K11" s="16"/>
      <c r="L11" s="17"/>
      <c r="M11" s="16"/>
      <c r="N11" s="16"/>
    </row>
    <row r="12" spans="1:17" s="5" customFormat="1" x14ac:dyDescent="0.2">
      <c r="A12" s="4" t="s">
        <v>28</v>
      </c>
      <c r="B12" s="4" t="s">
        <v>184</v>
      </c>
      <c r="C12" s="4">
        <v>36</v>
      </c>
      <c r="D12" s="3" t="s">
        <v>29</v>
      </c>
      <c r="E12" s="79"/>
      <c r="F12" s="4"/>
      <c r="G12" s="4"/>
      <c r="H12" s="4"/>
      <c r="I12" s="15"/>
      <c r="J12" s="4" t="s">
        <v>30</v>
      </c>
      <c r="K12" s="17"/>
      <c r="L12" s="17"/>
      <c r="M12" s="16"/>
      <c r="N12" s="16"/>
      <c r="Q12" s="2"/>
    </row>
    <row r="13" spans="1:17" s="5" customFormat="1" x14ac:dyDescent="0.2">
      <c r="A13" s="4"/>
      <c r="B13" s="4" t="s">
        <v>184</v>
      </c>
      <c r="C13" s="4" t="s">
        <v>10</v>
      </c>
      <c r="D13" s="18" t="s">
        <v>31</v>
      </c>
      <c r="E13" s="80"/>
      <c r="F13" s="19"/>
      <c r="G13" s="20" t="s">
        <v>14</v>
      </c>
      <c r="H13" s="4" t="s">
        <v>27</v>
      </c>
      <c r="I13" s="15">
        <f>((('1 1 2019'!I15+1.5)*1.025)-1.5)</f>
        <v>28.715534191765823</v>
      </c>
      <c r="J13" s="4"/>
      <c r="K13" s="22"/>
      <c r="L13" s="22"/>
      <c r="M13" s="16"/>
      <c r="N13" s="16"/>
      <c r="Q13" s="2"/>
    </row>
    <row r="14" spans="1:17" s="5" customFormat="1" x14ac:dyDescent="0.2">
      <c r="A14" s="4"/>
      <c r="B14" s="4" t="s">
        <v>184</v>
      </c>
      <c r="C14" s="4" t="s">
        <v>186</v>
      </c>
      <c r="D14" s="18" t="s">
        <v>32</v>
      </c>
      <c r="E14" s="80"/>
      <c r="F14" s="19"/>
      <c r="G14" s="20" t="s">
        <v>14</v>
      </c>
      <c r="H14" s="4" t="s">
        <v>27</v>
      </c>
      <c r="I14" s="15">
        <f>((('1 1 2019'!I16+1.5)*1.025)-1.5)</f>
        <v>29.686971671515753</v>
      </c>
      <c r="J14" s="4" t="s">
        <v>30</v>
      </c>
      <c r="K14" s="22"/>
      <c r="L14" s="22"/>
      <c r="M14" s="16"/>
      <c r="N14" s="16"/>
      <c r="Q14" s="2"/>
    </row>
    <row r="15" spans="1:17" s="5" customFormat="1" x14ac:dyDescent="0.2">
      <c r="A15" s="4"/>
      <c r="B15" s="4" t="s">
        <v>184</v>
      </c>
      <c r="C15" s="4" t="s">
        <v>187</v>
      </c>
      <c r="D15" s="18" t="s">
        <v>33</v>
      </c>
      <c r="E15" s="80"/>
      <c r="F15" s="19"/>
      <c r="G15" s="20" t="s">
        <v>14</v>
      </c>
      <c r="H15" s="4" t="s">
        <v>27</v>
      </c>
      <c r="I15" s="15">
        <f>((('1 1 2019'!I17+1.5)*1.025)-1.5)</f>
        <v>30.452426353753228</v>
      </c>
      <c r="J15" s="4" t="s">
        <v>30</v>
      </c>
      <c r="K15" s="22"/>
      <c r="L15" s="22"/>
      <c r="M15" s="16"/>
      <c r="N15" s="16"/>
      <c r="Q15" s="2"/>
    </row>
    <row r="16" spans="1:17" s="5" customFormat="1" x14ac:dyDescent="0.2">
      <c r="A16" s="29"/>
      <c r="B16" s="29" t="s">
        <v>184</v>
      </c>
      <c r="C16" s="4" t="s">
        <v>188</v>
      </c>
      <c r="D16" s="23" t="s">
        <v>34</v>
      </c>
      <c r="E16" s="81"/>
      <c r="F16" s="24"/>
      <c r="G16" s="25" t="s">
        <v>14</v>
      </c>
      <c r="H16" s="4" t="s">
        <v>27</v>
      </c>
      <c r="I16" s="15">
        <f>((('1 1 2019'!I18+1.5)*1.025)-1.5)</f>
        <v>31.2178810359907</v>
      </c>
      <c r="J16" s="4" t="s">
        <v>30</v>
      </c>
      <c r="K16" s="26"/>
      <c r="L16" s="26"/>
      <c r="M16" s="16"/>
      <c r="N16" s="27"/>
      <c r="Q16" s="2"/>
    </row>
    <row r="17" spans="1:17" s="5" customFormat="1" x14ac:dyDescent="0.2">
      <c r="A17" s="29"/>
      <c r="B17" s="29" t="s">
        <v>184</v>
      </c>
      <c r="C17" s="4" t="s">
        <v>189</v>
      </c>
      <c r="D17" s="23" t="s">
        <v>35</v>
      </c>
      <c r="E17" s="81"/>
      <c r="F17" s="24"/>
      <c r="G17" s="25" t="s">
        <v>14</v>
      </c>
      <c r="H17" s="4" t="s">
        <v>27</v>
      </c>
      <c r="I17" s="15">
        <f>((('1 1 2019'!I19+1.5)*1.025)-1.5)</f>
        <v>31.983335718228183</v>
      </c>
      <c r="J17" s="4"/>
      <c r="K17" s="26"/>
      <c r="L17" s="26"/>
      <c r="M17" s="16"/>
      <c r="N17" s="27"/>
      <c r="Q17" s="2"/>
    </row>
    <row r="18" spans="1:17" s="5" customFormat="1" x14ac:dyDescent="0.2">
      <c r="A18" s="29"/>
      <c r="B18" s="29" t="s">
        <v>184</v>
      </c>
      <c r="C18" s="4"/>
      <c r="D18" s="23"/>
      <c r="E18" s="81"/>
      <c r="F18" s="24"/>
      <c r="G18" s="25"/>
      <c r="H18" s="4"/>
      <c r="I18" s="15"/>
      <c r="J18" s="4"/>
      <c r="K18" s="26"/>
      <c r="L18" s="26"/>
      <c r="M18" s="16"/>
      <c r="N18" s="27"/>
      <c r="Q18" s="2"/>
    </row>
    <row r="19" spans="1:17" s="5" customFormat="1" x14ac:dyDescent="0.2">
      <c r="A19" s="29" t="s">
        <v>36</v>
      </c>
      <c r="B19" s="29" t="s">
        <v>184</v>
      </c>
      <c r="C19" s="4">
        <v>37</v>
      </c>
      <c r="D19" s="23" t="s">
        <v>37</v>
      </c>
      <c r="E19" s="81"/>
      <c r="F19" s="24"/>
      <c r="G19" s="25"/>
      <c r="H19" s="4"/>
      <c r="I19" s="15"/>
      <c r="J19" s="4"/>
      <c r="K19" s="26"/>
      <c r="L19" s="26"/>
      <c r="M19" s="16"/>
      <c r="N19" s="27"/>
      <c r="Q19" s="2"/>
    </row>
    <row r="20" spans="1:17" s="5" customFormat="1" x14ac:dyDescent="0.2">
      <c r="A20" s="29"/>
      <c r="B20" s="29" t="s">
        <v>184</v>
      </c>
      <c r="C20" s="4" t="s">
        <v>10</v>
      </c>
      <c r="D20" s="23" t="s">
        <v>38</v>
      </c>
      <c r="E20" s="81"/>
      <c r="F20" s="24"/>
      <c r="G20" s="25" t="s">
        <v>14</v>
      </c>
      <c r="H20" s="4" t="s">
        <v>27</v>
      </c>
      <c r="I20" s="15">
        <f>((('1 1 2019'!I22+1.5)*1.025)-1.5)</f>
        <v>29.599795132940706</v>
      </c>
      <c r="J20" s="4"/>
      <c r="K20" s="26"/>
      <c r="L20" s="26"/>
      <c r="M20" s="16"/>
      <c r="N20" s="27"/>
      <c r="Q20" s="2"/>
    </row>
    <row r="21" spans="1:17" s="5" customFormat="1" x14ac:dyDescent="0.2">
      <c r="A21" s="29"/>
      <c r="B21" s="29" t="s">
        <v>184</v>
      </c>
      <c r="C21" s="4" t="s">
        <v>186</v>
      </c>
      <c r="D21" s="23" t="s">
        <v>32</v>
      </c>
      <c r="E21" s="81"/>
      <c r="F21" s="24"/>
      <c r="G21" s="25" t="s">
        <v>14</v>
      </c>
      <c r="H21" s="4" t="s">
        <v>27</v>
      </c>
      <c r="I21" s="15">
        <f>((('1 1 2019'!I23+1.5)*1.025)-1.5)</f>
        <v>30.35674451847354</v>
      </c>
      <c r="J21" s="4"/>
      <c r="K21" s="26"/>
      <c r="L21" s="26"/>
      <c r="M21" s="16"/>
      <c r="N21" s="27"/>
      <c r="Q21" s="2"/>
    </row>
    <row r="22" spans="1:17" s="5" customFormat="1" x14ac:dyDescent="0.2">
      <c r="A22" s="29"/>
      <c r="B22" s="29" t="s">
        <v>184</v>
      </c>
      <c r="C22" s="4" t="s">
        <v>187</v>
      </c>
      <c r="D22" s="23" t="s">
        <v>33</v>
      </c>
      <c r="E22" s="81"/>
      <c r="F22" s="24"/>
      <c r="G22" s="25" t="s">
        <v>14</v>
      </c>
      <c r="H22" s="4" t="s">
        <v>27</v>
      </c>
      <c r="I22" s="15">
        <f>((('1 1 2019'!I24+1.5)*1.025)-1.5)</f>
        <v>30.898941585058424</v>
      </c>
      <c r="J22" s="4"/>
      <c r="K22" s="26"/>
      <c r="L22" s="26"/>
      <c r="M22" s="16"/>
      <c r="N22" s="27"/>
      <c r="Q22" s="2"/>
    </row>
    <row r="23" spans="1:17" s="5" customFormat="1" x14ac:dyDescent="0.2">
      <c r="A23" s="29"/>
      <c r="B23" s="29" t="s">
        <v>184</v>
      </c>
      <c r="C23" s="4" t="s">
        <v>188</v>
      </c>
      <c r="D23" s="23" t="s">
        <v>34</v>
      </c>
      <c r="E23" s="81"/>
      <c r="F23" s="24"/>
      <c r="G23" s="25" t="s">
        <v>14</v>
      </c>
      <c r="H23" s="4" t="s">
        <v>27</v>
      </c>
      <c r="I23" s="15">
        <f>((('1 1 2019'!I25+1.5)*1.025)-1.5)</f>
        <v>31.441138651643307</v>
      </c>
      <c r="J23" s="4"/>
      <c r="K23" s="26"/>
      <c r="L23" s="26"/>
      <c r="M23" s="16"/>
      <c r="N23" s="27"/>
      <c r="Q23" s="2"/>
    </row>
    <row r="24" spans="1:17" s="5" customFormat="1" x14ac:dyDescent="0.2">
      <c r="A24" s="29"/>
      <c r="B24" s="29" t="s">
        <v>184</v>
      </c>
      <c r="C24" s="4" t="s">
        <v>189</v>
      </c>
      <c r="D24" s="23" t="s">
        <v>35</v>
      </c>
      <c r="E24" s="81"/>
      <c r="F24" s="24"/>
      <c r="G24" s="25" t="s">
        <v>14</v>
      </c>
      <c r="H24" s="4" t="s">
        <v>27</v>
      </c>
      <c r="I24" s="15">
        <f>((('1 1 2019'!I26+1.5)*1.025)-1.5)</f>
        <v>31.983335718228183</v>
      </c>
      <c r="J24" s="4"/>
      <c r="K24" s="26"/>
      <c r="L24" s="26"/>
      <c r="M24" s="16"/>
      <c r="N24" s="27"/>
      <c r="Q24" s="2"/>
    </row>
    <row r="25" spans="1:17" s="5" customFormat="1" x14ac:dyDescent="0.2">
      <c r="A25" s="29"/>
      <c r="B25" s="29" t="s">
        <v>184</v>
      </c>
      <c r="C25" s="4"/>
      <c r="D25" s="23"/>
      <c r="E25" s="81"/>
      <c r="F25" s="24"/>
      <c r="G25" s="25"/>
      <c r="H25" s="4" t="s">
        <v>30</v>
      </c>
      <c r="I25" s="15"/>
      <c r="J25" s="4" t="s">
        <v>30</v>
      </c>
      <c r="K25" s="26"/>
      <c r="L25" s="26"/>
      <c r="M25" s="27"/>
      <c r="N25" s="27"/>
      <c r="Q25" s="2"/>
    </row>
    <row r="26" spans="1:17" s="5" customFormat="1" x14ac:dyDescent="0.2">
      <c r="A26" s="29"/>
      <c r="B26" s="29" t="s">
        <v>184</v>
      </c>
      <c r="C26" s="4"/>
      <c r="D26" s="28" t="s">
        <v>39</v>
      </c>
      <c r="E26" s="81"/>
      <c r="F26" s="24"/>
      <c r="G26" s="25"/>
      <c r="H26" s="4"/>
      <c r="I26" s="15"/>
      <c r="J26" s="4"/>
      <c r="K26" s="26"/>
      <c r="L26" s="26"/>
      <c r="M26" s="27"/>
      <c r="N26" s="27"/>
      <c r="Q26" s="2"/>
    </row>
    <row r="27" spans="1:17" s="5" customFormat="1" x14ac:dyDescent="0.2">
      <c r="A27" s="29" t="s">
        <v>40</v>
      </c>
      <c r="B27" s="4" t="s">
        <v>184</v>
      </c>
      <c r="C27" s="4" t="s">
        <v>190</v>
      </c>
      <c r="D27" s="30" t="s">
        <v>41</v>
      </c>
      <c r="E27" s="79">
        <v>275</v>
      </c>
      <c r="F27" s="4">
        <v>6</v>
      </c>
      <c r="G27" s="25" t="s">
        <v>14</v>
      </c>
      <c r="H27" s="21">
        <f>((('1 1 2019'!H29+1)*1.025)-1)</f>
        <v>28.792821123512589</v>
      </c>
      <c r="I27" s="15">
        <f>((('1 1 2019'!I29+1.5)*1.025)-1.5)</f>
        <v>30.071195665204353</v>
      </c>
      <c r="J27" s="4"/>
      <c r="K27" s="26"/>
      <c r="L27" s="26"/>
      <c r="M27" s="27"/>
      <c r="N27" s="27"/>
      <c r="Q27" s="2"/>
    </row>
    <row r="28" spans="1:17" s="5" customFormat="1" ht="11.25" customHeight="1" x14ac:dyDescent="0.2">
      <c r="A28" s="29"/>
      <c r="B28" s="31"/>
      <c r="C28" s="31"/>
      <c r="D28" s="31"/>
      <c r="E28" s="82"/>
      <c r="F28" s="31"/>
      <c r="G28" s="31"/>
      <c r="H28" s="31"/>
      <c r="I28" s="31"/>
      <c r="J28" s="31"/>
      <c r="Q28" s="2"/>
    </row>
    <row r="29" spans="1:17" x14ac:dyDescent="0.2">
      <c r="A29" s="2" t="s">
        <v>236</v>
      </c>
      <c r="B29" s="31"/>
      <c r="C29" s="31"/>
      <c r="D29" s="31"/>
      <c r="E29" s="82"/>
      <c r="F29" s="31"/>
      <c r="G29" s="31"/>
      <c r="H29" s="31"/>
      <c r="I29" s="31"/>
      <c r="J29" s="31"/>
      <c r="K29" s="2"/>
      <c r="L29" s="2"/>
      <c r="M29" s="2"/>
      <c r="N29" s="2"/>
      <c r="O29" s="2"/>
      <c r="P29" s="2"/>
    </row>
    <row r="30" spans="1:17" s="33" customFormat="1" x14ac:dyDescent="0.2">
      <c r="A30" s="1"/>
      <c r="E30" s="83"/>
    </row>
    <row r="31" spans="1:17" s="33" customFormat="1" x14ac:dyDescent="0.2">
      <c r="A31" s="33" t="s">
        <v>225</v>
      </c>
      <c r="E31" s="83"/>
      <c r="K31" s="34"/>
      <c r="L31" s="34"/>
      <c r="M31" s="34"/>
      <c r="N31" s="34"/>
      <c r="O31" s="34"/>
      <c r="P31" s="34"/>
    </row>
    <row r="32" spans="1:17" x14ac:dyDescent="0.2">
      <c r="A32" s="33" t="s">
        <v>44</v>
      </c>
      <c r="F32" s="4"/>
      <c r="G32" s="35"/>
      <c r="H32" s="35"/>
      <c r="I32" s="35"/>
      <c r="J32" s="4"/>
    </row>
    <row r="33" spans="1:16" s="33" customFormat="1" x14ac:dyDescent="0.2">
      <c r="A33" s="1"/>
      <c r="E33" s="83"/>
      <c r="K33" s="34"/>
      <c r="L33" s="34"/>
      <c r="M33" s="34"/>
      <c r="N33" s="34"/>
      <c r="O33" s="34"/>
      <c r="P33" s="34"/>
    </row>
    <row r="34" spans="1:16" s="33" customFormat="1" x14ac:dyDescent="0.2">
      <c r="A34" s="36" t="s">
        <v>226</v>
      </c>
      <c r="E34" s="83"/>
      <c r="K34" s="34"/>
      <c r="L34" s="34"/>
      <c r="M34" s="34"/>
      <c r="N34" s="34"/>
      <c r="O34" s="34"/>
      <c r="P34" s="34"/>
    </row>
    <row r="35" spans="1:16" x14ac:dyDescent="0.2">
      <c r="A35" s="36" t="s">
        <v>46</v>
      </c>
      <c r="F35" s="4"/>
      <c r="G35" s="35"/>
      <c r="H35" s="35"/>
      <c r="I35" s="35"/>
      <c r="J35" s="4"/>
    </row>
    <row r="36" spans="1:16" s="33" customFormat="1" x14ac:dyDescent="0.2">
      <c r="A36" s="18"/>
      <c r="B36" s="19"/>
      <c r="C36" s="19"/>
      <c r="D36" s="19"/>
      <c r="E36" s="84"/>
      <c r="F36" s="37"/>
      <c r="G36" s="38"/>
      <c r="H36" s="37"/>
      <c r="I36" s="37"/>
      <c r="J36" s="37"/>
      <c r="K36" s="34"/>
      <c r="L36" s="34"/>
      <c r="M36" s="34"/>
      <c r="N36" s="34"/>
      <c r="O36" s="34"/>
      <c r="P36" s="34"/>
    </row>
    <row r="37" spans="1:16" s="33" customFormat="1" x14ac:dyDescent="0.2">
      <c r="A37" s="39" t="s">
        <v>231</v>
      </c>
      <c r="E37" s="83"/>
      <c r="K37" s="34"/>
      <c r="L37" s="34"/>
      <c r="M37" s="34"/>
      <c r="N37" s="34"/>
      <c r="O37" s="34"/>
      <c r="P37" s="34"/>
    </row>
    <row r="38" spans="1:16" x14ac:dyDescent="0.2">
      <c r="A38" s="39" t="s">
        <v>48</v>
      </c>
      <c r="B38" s="33"/>
      <c r="C38" s="33"/>
      <c r="D38" s="33"/>
      <c r="G38" s="76">
        <f>'1 1 2019'!G40*1.025</f>
        <v>1.2095022505251338</v>
      </c>
      <c r="H38" s="33" t="s">
        <v>49</v>
      </c>
      <c r="I38" s="33"/>
      <c r="J38" s="33"/>
    </row>
    <row r="39" spans="1:16" s="33" customFormat="1" x14ac:dyDescent="0.2">
      <c r="A39" s="20"/>
      <c r="B39" s="19"/>
      <c r="C39" s="19"/>
      <c r="D39" s="19"/>
      <c r="E39" s="80"/>
      <c r="F39" s="19"/>
      <c r="G39" s="20"/>
      <c r="H39" s="37"/>
      <c r="I39" s="37"/>
      <c r="J39" s="37"/>
      <c r="K39" s="34"/>
      <c r="L39" s="34"/>
      <c r="M39" s="34"/>
      <c r="N39" s="34"/>
      <c r="O39" s="34"/>
      <c r="P39" s="34"/>
    </row>
    <row r="40" spans="1:16" s="33" customFormat="1" x14ac:dyDescent="0.2">
      <c r="A40" s="39" t="s">
        <v>230</v>
      </c>
      <c r="E40" s="83"/>
      <c r="G40" s="4"/>
      <c r="K40" s="34"/>
      <c r="L40" s="34"/>
      <c r="M40" s="34"/>
      <c r="N40" s="34"/>
      <c r="O40" s="34"/>
      <c r="P40" s="34"/>
    </row>
    <row r="41" spans="1:16" x14ac:dyDescent="0.2">
      <c r="A41" s="39" t="s">
        <v>51</v>
      </c>
      <c r="B41" s="33"/>
      <c r="C41" s="33"/>
      <c r="D41" s="33"/>
      <c r="G41" s="76">
        <f>'1 1 2019'!G43*1.025</f>
        <v>1.9802634886048758</v>
      </c>
      <c r="H41" s="33" t="s">
        <v>49</v>
      </c>
      <c r="I41" s="33"/>
      <c r="J41" s="33"/>
    </row>
    <row r="42" spans="1:16" s="33" customFormat="1" x14ac:dyDescent="0.2">
      <c r="A42" s="20"/>
      <c r="E42" s="83"/>
      <c r="G42" s="4"/>
      <c r="K42" s="34"/>
      <c r="L42" s="34"/>
      <c r="M42" s="34"/>
      <c r="N42" s="34"/>
      <c r="O42" s="34"/>
      <c r="P42" s="34"/>
    </row>
    <row r="43" spans="1:16" s="33" customFormat="1" x14ac:dyDescent="0.2">
      <c r="A43" s="20"/>
      <c r="E43" s="83"/>
      <c r="G43" s="4"/>
      <c r="K43" s="34"/>
      <c r="L43" s="34"/>
      <c r="M43" s="34"/>
      <c r="N43" s="34"/>
      <c r="O43" s="34"/>
      <c r="P43" s="34"/>
    </row>
    <row r="44" spans="1:16" x14ac:dyDescent="0.2">
      <c r="A44" s="91" t="s">
        <v>233</v>
      </c>
      <c r="C44" s="41"/>
      <c r="D44" s="19"/>
      <c r="E44" s="80"/>
      <c r="F44" s="19"/>
      <c r="G44" s="76">
        <f>'1 1 2019'!G46*1.025</f>
        <v>1.8142533757877004</v>
      </c>
      <c r="H44" s="42" t="s">
        <v>53</v>
      </c>
      <c r="I44" s="37"/>
      <c r="J44" s="37"/>
    </row>
    <row r="45" spans="1:16" x14ac:dyDescent="0.2">
      <c r="A45" s="19" t="s">
        <v>234</v>
      </c>
      <c r="C45" s="41"/>
      <c r="D45" s="19"/>
      <c r="E45" s="80"/>
      <c r="F45" s="19"/>
      <c r="G45" s="19"/>
      <c r="H45" s="37"/>
      <c r="I45" s="37"/>
      <c r="J45" s="37"/>
    </row>
    <row r="46" spans="1:16" x14ac:dyDescent="0.2">
      <c r="A46" s="2" t="s">
        <v>215</v>
      </c>
      <c r="C46" s="41"/>
      <c r="D46" s="19"/>
      <c r="E46" s="80"/>
      <c r="F46" s="19"/>
      <c r="G46" s="19"/>
      <c r="H46" s="37"/>
      <c r="I46" s="37"/>
      <c r="J46" s="37"/>
    </row>
    <row r="47" spans="1:16" s="33" customFormat="1" x14ac:dyDescent="0.2">
      <c r="A47" s="20"/>
      <c r="E47" s="83"/>
      <c r="K47" s="34"/>
      <c r="L47" s="34"/>
      <c r="M47" s="34"/>
      <c r="N47" s="34"/>
      <c r="O47" s="34"/>
      <c r="P47" s="34"/>
    </row>
    <row r="48" spans="1:16" s="33" customFormat="1" x14ac:dyDescent="0.2">
      <c r="A48" s="20"/>
      <c r="E48" s="83"/>
      <c r="K48" s="34"/>
      <c r="L48" s="34"/>
      <c r="M48" s="34"/>
      <c r="N48" s="34"/>
      <c r="O48" s="34"/>
      <c r="P48" s="34"/>
    </row>
    <row r="49" spans="1:17" s="33" customFormat="1" x14ac:dyDescent="0.2">
      <c r="A49" s="43" t="s">
        <v>56</v>
      </c>
      <c r="B49" s="44"/>
      <c r="E49" s="83"/>
      <c r="K49" s="34"/>
      <c r="L49" s="34"/>
      <c r="M49" s="34"/>
      <c r="N49" s="34"/>
      <c r="O49" s="34"/>
      <c r="P49" s="34"/>
    </row>
    <row r="50" spans="1:17" s="33" customFormat="1" x14ac:dyDescent="0.2">
      <c r="A50" s="39" t="s">
        <v>227</v>
      </c>
      <c r="E50" s="83"/>
      <c r="K50" s="34"/>
      <c r="L50" s="34"/>
      <c r="M50" s="34"/>
      <c r="N50" s="34"/>
      <c r="O50" s="34"/>
      <c r="P50" s="34"/>
      <c r="Q50" s="34"/>
    </row>
    <row r="51" spans="1:17" s="33" customFormat="1" x14ac:dyDescent="0.2">
      <c r="A51" s="39" t="s">
        <v>58</v>
      </c>
      <c r="E51" s="83"/>
      <c r="K51" s="34"/>
      <c r="L51" s="34"/>
      <c r="M51" s="34"/>
      <c r="N51" s="34"/>
      <c r="O51" s="34"/>
      <c r="P51" s="34"/>
      <c r="Q51" s="34"/>
    </row>
    <row r="52" spans="1:17" s="33" customFormat="1" x14ac:dyDescent="0.2">
      <c r="A52" s="46">
        <f>'1 1 2019'!A54*1.025</f>
        <v>0.30237556263128346</v>
      </c>
      <c r="B52" s="33" t="s">
        <v>59</v>
      </c>
      <c r="E52" s="83"/>
      <c r="K52" s="34"/>
      <c r="L52" s="34"/>
      <c r="M52" s="34"/>
      <c r="N52" s="34"/>
      <c r="O52" s="34"/>
      <c r="P52" s="34"/>
      <c r="Q52" s="34"/>
    </row>
    <row r="53" spans="1:17" s="33" customFormat="1" x14ac:dyDescent="0.2">
      <c r="A53" s="39" t="s">
        <v>60</v>
      </c>
      <c r="E53" s="83"/>
      <c r="K53" s="34"/>
      <c r="L53" s="34"/>
      <c r="M53" s="34"/>
      <c r="N53" s="34"/>
      <c r="O53" s="34"/>
      <c r="P53" s="34"/>
      <c r="Q53" s="34"/>
    </row>
    <row r="54" spans="1:17" s="33" customFormat="1" x14ac:dyDescent="0.2">
      <c r="A54" s="39" t="s">
        <v>61</v>
      </c>
      <c r="E54" s="83"/>
      <c r="K54" s="34"/>
      <c r="L54" s="34"/>
      <c r="M54" s="34"/>
      <c r="N54" s="34"/>
      <c r="O54" s="34"/>
      <c r="P54" s="34"/>
      <c r="Q54" s="34"/>
    </row>
    <row r="55" spans="1:17" s="33" customFormat="1" x14ac:dyDescent="0.2">
      <c r="A55" s="39" t="s">
        <v>62</v>
      </c>
      <c r="E55" s="83"/>
      <c r="K55" s="34"/>
      <c r="L55" s="34"/>
      <c r="M55" s="34"/>
      <c r="N55" s="34"/>
      <c r="O55" s="34"/>
      <c r="P55" s="34"/>
      <c r="Q55" s="34"/>
    </row>
    <row r="56" spans="1:17" s="33" customFormat="1" x14ac:dyDescent="0.2">
      <c r="A56" s="39" t="s">
        <v>63</v>
      </c>
      <c r="E56" s="83"/>
      <c r="K56" s="34"/>
      <c r="L56" s="34"/>
      <c r="M56" s="34"/>
      <c r="N56" s="34"/>
      <c r="O56" s="34"/>
      <c r="P56" s="34"/>
      <c r="Q56" s="34"/>
    </row>
    <row r="57" spans="1:17" s="33" customFormat="1" x14ac:dyDescent="0.2">
      <c r="A57" s="39"/>
      <c r="E57" s="83"/>
      <c r="K57" s="34"/>
      <c r="L57" s="34"/>
      <c r="M57" s="34"/>
      <c r="N57" s="34"/>
      <c r="O57" s="34"/>
      <c r="P57" s="34"/>
    </row>
    <row r="58" spans="1:17" s="33" customFormat="1" x14ac:dyDescent="0.2">
      <c r="A58" s="39" t="s">
        <v>64</v>
      </c>
      <c r="E58" s="83"/>
      <c r="K58" s="34"/>
      <c r="L58" s="34"/>
      <c r="M58" s="34"/>
      <c r="N58" s="34"/>
      <c r="O58" s="34"/>
      <c r="P58" s="34"/>
    </row>
    <row r="59" spans="1:17" s="33" customFormat="1" x14ac:dyDescent="0.2">
      <c r="A59" s="39" t="s">
        <v>65</v>
      </c>
      <c r="E59" s="83"/>
      <c r="K59" s="34"/>
      <c r="L59" s="34"/>
      <c r="M59" s="34"/>
      <c r="N59" s="34"/>
      <c r="O59" s="34"/>
      <c r="P59" s="34"/>
    </row>
    <row r="60" spans="1:17" s="33" customFormat="1" x14ac:dyDescent="0.2">
      <c r="A60" s="47" t="s">
        <v>66</v>
      </c>
      <c r="E60" s="83"/>
      <c r="F60" s="48">
        <f>'1 1 2019'!F62*1.025</f>
        <v>1.8900165967605946</v>
      </c>
      <c r="G60" s="19" t="s">
        <v>67</v>
      </c>
      <c r="K60" s="34"/>
      <c r="L60" s="34"/>
      <c r="M60" s="34"/>
      <c r="N60" s="34"/>
      <c r="O60" s="34"/>
      <c r="P60" s="34"/>
    </row>
    <row r="61" spans="1:17" s="33" customFormat="1" x14ac:dyDescent="0.2">
      <c r="A61" s="47" t="s">
        <v>68</v>
      </c>
      <c r="E61" s="83"/>
      <c r="F61" s="48">
        <f>'1 1 2019'!F63*1.025</f>
        <v>1.3595289096802716</v>
      </c>
      <c r="G61" s="19" t="s">
        <v>67</v>
      </c>
      <c r="K61" s="34"/>
      <c r="L61" s="34"/>
      <c r="M61" s="34"/>
      <c r="N61" s="34"/>
      <c r="O61" s="34"/>
      <c r="P61" s="34"/>
    </row>
    <row r="62" spans="1:17" x14ac:dyDescent="0.2">
      <c r="A62" s="47" t="s">
        <v>69</v>
      </c>
      <c r="B62" s="20"/>
      <c r="C62" s="19"/>
      <c r="D62" s="19"/>
      <c r="E62" s="80"/>
      <c r="F62" s="49">
        <f>'1 1 2019'!F64*1.025</f>
        <v>0.9067638372186928</v>
      </c>
      <c r="G62" s="19" t="s">
        <v>67</v>
      </c>
      <c r="H62" s="37"/>
      <c r="I62" s="37"/>
      <c r="J62" s="37"/>
    </row>
    <row r="63" spans="1:17" x14ac:dyDescent="0.2">
      <c r="A63" s="39"/>
      <c r="B63" s="20"/>
      <c r="C63" s="19"/>
      <c r="D63" s="19"/>
      <c r="E63" s="80"/>
      <c r="H63" s="37"/>
      <c r="I63" s="37"/>
      <c r="J63" s="37"/>
    </row>
    <row r="64" spans="1:17" x14ac:dyDescent="0.2">
      <c r="A64" s="43" t="s">
        <v>70</v>
      </c>
      <c r="B64" s="51"/>
      <c r="C64" s="19"/>
      <c r="D64" s="19"/>
      <c r="E64" s="80"/>
      <c r="H64" s="37"/>
      <c r="I64" s="37"/>
      <c r="J64" s="37"/>
    </row>
    <row r="65" spans="1:10" x14ac:dyDescent="0.2">
      <c r="A65" s="18" t="s">
        <v>71</v>
      </c>
      <c r="B65" s="20"/>
      <c r="C65" s="19"/>
      <c r="D65" s="19"/>
      <c r="E65" s="80"/>
      <c r="F65" s="19"/>
      <c r="G65" s="19"/>
      <c r="H65" s="37"/>
      <c r="I65" s="37"/>
      <c r="J65" s="37"/>
    </row>
    <row r="66" spans="1:10" x14ac:dyDescent="0.2">
      <c r="A66" s="18" t="s">
        <v>72</v>
      </c>
      <c r="B66" s="20"/>
      <c r="C66" s="19"/>
      <c r="D66" s="19"/>
      <c r="E66" s="80"/>
      <c r="F66" s="19"/>
      <c r="G66" s="19"/>
      <c r="H66" s="37"/>
      <c r="I66" s="37"/>
      <c r="J66" s="37"/>
    </row>
    <row r="67" spans="1:10" x14ac:dyDescent="0.2">
      <c r="A67" s="52">
        <f>'1 1 2019'!A69</f>
        <v>0.7605256846041093</v>
      </c>
      <c r="B67" s="39" t="s">
        <v>73</v>
      </c>
      <c r="C67" s="19"/>
      <c r="D67" s="19"/>
      <c r="E67" s="80"/>
      <c r="F67" s="19"/>
      <c r="G67" s="19"/>
      <c r="H67" s="37"/>
      <c r="I67" s="37"/>
      <c r="J67" s="37"/>
    </row>
    <row r="68" spans="1:10" x14ac:dyDescent="0.2">
      <c r="A68" s="18" t="s">
        <v>74</v>
      </c>
      <c r="B68" s="20"/>
      <c r="C68" s="19"/>
      <c r="D68" s="19"/>
      <c r="E68" s="80"/>
      <c r="F68" s="19"/>
      <c r="G68" s="19"/>
      <c r="H68" s="53"/>
      <c r="I68" s="37"/>
      <c r="J68" s="37"/>
    </row>
    <row r="69" spans="1:10" x14ac:dyDescent="0.2">
      <c r="A69" s="52">
        <f>'1 1 2019'!A71</f>
        <v>0.7605256846041093</v>
      </c>
      <c r="B69" s="18" t="s">
        <v>75</v>
      </c>
      <c r="C69" s="19"/>
      <c r="D69" s="19"/>
      <c r="E69" s="80"/>
      <c r="F69" s="19"/>
      <c r="G69" s="19"/>
      <c r="I69" s="37"/>
      <c r="J69" s="37"/>
    </row>
    <row r="70" spans="1:10" x14ac:dyDescent="0.2">
      <c r="A70" s="18" t="s">
        <v>76</v>
      </c>
      <c r="B70" s="20"/>
      <c r="C70" s="19"/>
      <c r="D70" s="19"/>
      <c r="E70" s="80"/>
      <c r="F70" s="19"/>
      <c r="G70" s="19"/>
      <c r="I70" s="37"/>
      <c r="J70" s="37"/>
    </row>
    <row r="71" spans="1:10" x14ac:dyDescent="0.2">
      <c r="A71" s="18" t="s">
        <v>77</v>
      </c>
      <c r="B71" s="20"/>
      <c r="C71" s="19"/>
      <c r="D71" s="19"/>
      <c r="E71" s="80"/>
      <c r="F71" s="19"/>
      <c r="G71" s="19"/>
      <c r="H71" s="37"/>
      <c r="I71" s="37"/>
      <c r="J71" s="37"/>
    </row>
    <row r="72" spans="1:10" x14ac:dyDescent="0.2">
      <c r="A72" s="54">
        <f>'1 1 2019'!A74</f>
        <v>0.76100000000000001</v>
      </c>
      <c r="B72" s="19" t="s">
        <v>78</v>
      </c>
      <c r="E72" s="80"/>
      <c r="F72" s="19"/>
      <c r="G72" s="19"/>
      <c r="H72" s="37"/>
      <c r="I72" s="37"/>
      <c r="J72" s="37"/>
    </row>
    <row r="73" spans="1:10" x14ac:dyDescent="0.2">
      <c r="A73" s="18"/>
      <c r="B73" s="20"/>
      <c r="C73" s="19"/>
      <c r="D73" s="19"/>
      <c r="E73" s="80"/>
      <c r="F73" s="19"/>
      <c r="G73" s="19"/>
      <c r="H73" s="37"/>
      <c r="I73" s="37"/>
      <c r="J73" s="37"/>
    </row>
    <row r="74" spans="1:10" x14ac:dyDescent="0.2">
      <c r="G74" s="19"/>
      <c r="H74" s="37"/>
      <c r="I74" s="37"/>
      <c r="J74" s="37"/>
    </row>
    <row r="75" spans="1:10" x14ac:dyDescent="0.2">
      <c r="A75" s="43" t="s">
        <v>79</v>
      </c>
      <c r="B75" s="51"/>
      <c r="C75" s="49">
        <v>0.7605256846041093</v>
      </c>
      <c r="D75" s="19" t="s">
        <v>206</v>
      </c>
      <c r="E75" s="80"/>
      <c r="F75" s="19"/>
      <c r="G75" s="19"/>
      <c r="H75" s="37"/>
      <c r="I75" s="55" t="s">
        <v>80</v>
      </c>
      <c r="J75" s="37"/>
    </row>
    <row r="76" spans="1:10" x14ac:dyDescent="0.2">
      <c r="A76" s="39" t="s">
        <v>81</v>
      </c>
      <c r="B76" s="20"/>
      <c r="C76" s="19"/>
      <c r="D76" s="19"/>
      <c r="E76" s="80"/>
      <c r="F76" s="19"/>
      <c r="G76" s="19"/>
      <c r="H76" s="37"/>
      <c r="I76" s="37"/>
      <c r="J76" s="19"/>
    </row>
    <row r="77" spans="1:10" x14ac:dyDescent="0.2">
      <c r="A77" s="39"/>
      <c r="B77" s="20"/>
      <c r="C77" s="19"/>
      <c r="D77" s="19"/>
      <c r="E77" s="80"/>
      <c r="F77" s="19"/>
      <c r="G77" s="19"/>
    </row>
    <row r="78" spans="1:10" x14ac:dyDescent="0.2">
      <c r="A78" s="56" t="s">
        <v>82</v>
      </c>
      <c r="B78" s="20"/>
      <c r="C78" s="19"/>
      <c r="D78" s="19"/>
      <c r="E78" s="80"/>
      <c r="F78" s="19"/>
      <c r="G78" s="19"/>
      <c r="H78" s="55" t="s">
        <v>83</v>
      </c>
      <c r="I78" s="54">
        <f>$C$75</f>
        <v>0.7605256846041093</v>
      </c>
      <c r="J78" s="2" t="s">
        <v>84</v>
      </c>
    </row>
    <row r="79" spans="1:10" x14ac:dyDescent="0.2">
      <c r="A79" s="57" t="s">
        <v>85</v>
      </c>
      <c r="B79" s="19"/>
      <c r="D79" s="19"/>
      <c r="E79" s="80"/>
      <c r="F79" s="19"/>
      <c r="G79" s="19"/>
      <c r="H79" s="58"/>
      <c r="I79" s="33"/>
      <c r="J79" s="33"/>
    </row>
    <row r="80" spans="1:10" x14ac:dyDescent="0.2">
      <c r="A80" s="57" t="s">
        <v>86</v>
      </c>
      <c r="B80" s="20"/>
      <c r="C80" s="19"/>
      <c r="D80" s="19"/>
      <c r="E80" s="80"/>
      <c r="F80" s="19"/>
      <c r="G80" s="19"/>
      <c r="H80" s="58"/>
      <c r="I80" s="33"/>
      <c r="J80" s="33"/>
    </row>
    <row r="81" spans="1:17" ht="13.5" customHeight="1" x14ac:dyDescent="0.2">
      <c r="A81" s="39" t="s">
        <v>87</v>
      </c>
      <c r="B81" s="33"/>
      <c r="C81" s="33"/>
      <c r="D81" s="33"/>
      <c r="E81" s="83"/>
      <c r="F81" s="33"/>
      <c r="G81" s="33"/>
      <c r="H81" s="55"/>
      <c r="I81" s="37"/>
      <c r="J81" s="37"/>
    </row>
    <row r="82" spans="1:17" ht="13.5" customHeight="1" x14ac:dyDescent="0.2">
      <c r="A82" s="39"/>
      <c r="B82" s="33"/>
      <c r="C82" s="33"/>
      <c r="D82" s="33"/>
      <c r="E82" s="83"/>
      <c r="F82" s="33"/>
      <c r="G82" s="33"/>
      <c r="H82" s="55"/>
      <c r="I82" s="37"/>
      <c r="J82" s="37"/>
    </row>
    <row r="83" spans="1:17" x14ac:dyDescent="0.2">
      <c r="A83" s="39" t="s">
        <v>88</v>
      </c>
      <c r="B83" s="33"/>
      <c r="C83" s="33"/>
      <c r="D83" s="33"/>
      <c r="E83" s="83"/>
      <c r="F83" s="33"/>
      <c r="G83" s="33"/>
      <c r="H83" s="55" t="s">
        <v>89</v>
      </c>
      <c r="I83" s="54">
        <f>$C$75*2</f>
        <v>1.5210513692082186</v>
      </c>
      <c r="J83" s="2" t="s">
        <v>84</v>
      </c>
    </row>
    <row r="84" spans="1:17" s="33" customFormat="1" x14ac:dyDescent="0.2">
      <c r="A84" s="57" t="s">
        <v>207</v>
      </c>
      <c r="B84" s="20"/>
      <c r="C84" s="19"/>
      <c r="D84" s="19"/>
      <c r="E84" s="80"/>
      <c r="F84" s="19"/>
      <c r="G84" s="19"/>
      <c r="H84" s="58"/>
      <c r="K84" s="34"/>
      <c r="L84" s="34"/>
      <c r="M84" s="34"/>
      <c r="N84" s="34"/>
      <c r="O84" s="34"/>
      <c r="P84" s="34"/>
    </row>
    <row r="85" spans="1:17" x14ac:dyDescent="0.2">
      <c r="A85" s="39"/>
      <c r="B85" s="33"/>
      <c r="C85" s="33"/>
      <c r="D85" s="33"/>
      <c r="E85" s="83"/>
      <c r="F85" s="33"/>
      <c r="G85" s="33"/>
      <c r="H85" s="1"/>
    </row>
    <row r="86" spans="1:17" s="33" customFormat="1" x14ac:dyDescent="0.2">
      <c r="A86" s="59" t="s">
        <v>93</v>
      </c>
      <c r="E86" s="83"/>
      <c r="H86" s="55" t="s">
        <v>94</v>
      </c>
      <c r="I86" s="54">
        <f>$C$75*3</f>
        <v>2.2815770538123279</v>
      </c>
      <c r="J86" s="2" t="s">
        <v>84</v>
      </c>
      <c r="K86" s="34"/>
      <c r="L86" s="34"/>
      <c r="M86" s="34"/>
      <c r="N86" s="34"/>
      <c r="O86" s="34"/>
      <c r="P86" s="34"/>
    </row>
    <row r="87" spans="1:17" s="33" customFormat="1" x14ac:dyDescent="0.2">
      <c r="A87" s="57" t="s">
        <v>208</v>
      </c>
      <c r="B87" s="20"/>
      <c r="C87" s="19"/>
      <c r="D87" s="19"/>
      <c r="E87" s="80"/>
      <c r="F87" s="19"/>
      <c r="G87" s="19"/>
      <c r="H87" s="58"/>
      <c r="K87" s="34"/>
      <c r="L87" s="34"/>
      <c r="M87" s="34"/>
      <c r="N87" s="34"/>
      <c r="O87" s="34"/>
      <c r="P87" s="34"/>
    </row>
    <row r="88" spans="1:17" x14ac:dyDescent="0.2">
      <c r="A88" s="19"/>
      <c r="B88" s="33"/>
      <c r="C88" s="33"/>
      <c r="D88" s="33"/>
      <c r="E88" s="83"/>
      <c r="F88" s="33"/>
      <c r="G88" s="33"/>
      <c r="H88" s="1"/>
    </row>
    <row r="89" spans="1:17" s="33" customFormat="1" x14ac:dyDescent="0.2">
      <c r="A89" s="59" t="s">
        <v>96</v>
      </c>
      <c r="E89" s="83"/>
      <c r="H89" s="55" t="s">
        <v>97</v>
      </c>
      <c r="I89" s="54">
        <f>$C$75*4</f>
        <v>3.0421027384164372</v>
      </c>
      <c r="J89" s="2" t="s">
        <v>84</v>
      </c>
      <c r="K89" s="34"/>
      <c r="L89" s="34"/>
      <c r="M89" s="34"/>
      <c r="N89" s="34"/>
      <c r="O89" s="34"/>
      <c r="P89" s="34"/>
    </row>
    <row r="90" spans="1:17" s="33" customFormat="1" x14ac:dyDescent="0.2">
      <c r="A90" s="57" t="s">
        <v>209</v>
      </c>
      <c r="B90" s="20"/>
      <c r="C90" s="39"/>
      <c r="D90" s="19"/>
      <c r="E90" s="80"/>
      <c r="F90" s="19"/>
      <c r="G90" s="19"/>
      <c r="H90" s="55"/>
      <c r="I90" s="61"/>
      <c r="J90" s="2"/>
      <c r="K90" s="34"/>
      <c r="L90" s="34"/>
      <c r="M90" s="34"/>
      <c r="N90" s="34"/>
      <c r="O90" s="34"/>
      <c r="P90" s="34"/>
    </row>
    <row r="91" spans="1:17" s="33" customFormat="1" x14ac:dyDescent="0.2">
      <c r="A91" s="57"/>
      <c r="B91" s="20"/>
      <c r="C91" s="39"/>
      <c r="D91" s="19"/>
      <c r="E91" s="80"/>
      <c r="F91" s="19"/>
      <c r="G91" s="19"/>
      <c r="H91" s="55"/>
      <c r="I91" s="61"/>
      <c r="J91" s="2"/>
      <c r="K91" s="34"/>
      <c r="L91" s="34"/>
      <c r="M91" s="34"/>
      <c r="N91" s="34"/>
      <c r="O91" s="34"/>
      <c r="P91" s="34"/>
    </row>
    <row r="92" spans="1:17" s="5" customFormat="1" x14ac:dyDescent="0.2">
      <c r="A92" s="43" t="s">
        <v>210</v>
      </c>
      <c r="B92" s="33"/>
      <c r="C92" s="33"/>
      <c r="D92" s="33"/>
      <c r="E92" s="83"/>
      <c r="F92" s="33"/>
      <c r="G92" s="33"/>
      <c r="H92" s="55"/>
      <c r="I92" s="61"/>
      <c r="J92" s="2"/>
      <c r="Q92" s="2"/>
    </row>
    <row r="93" spans="1:17" s="5" customFormat="1" x14ac:dyDescent="0.2">
      <c r="A93" s="62" t="s">
        <v>211</v>
      </c>
      <c r="B93" s="33"/>
      <c r="C93" s="33"/>
      <c r="D93" s="33"/>
      <c r="E93" s="83"/>
      <c r="F93" s="33"/>
      <c r="G93" s="33"/>
      <c r="H93" s="55"/>
      <c r="I93" s="61"/>
      <c r="J93" s="2"/>
      <c r="Q93" s="2"/>
    </row>
    <row r="94" spans="1:17" s="5" customFormat="1" x14ac:dyDescent="0.2">
      <c r="A94" s="19" t="s">
        <v>102</v>
      </c>
      <c r="B94" s="33"/>
      <c r="C94" s="33"/>
      <c r="D94" s="33"/>
      <c r="E94" s="83"/>
      <c r="F94" s="33"/>
      <c r="G94" s="33"/>
      <c r="H94" s="55"/>
      <c r="I94" s="61"/>
      <c r="J94" s="2"/>
      <c r="Q94" s="2"/>
    </row>
    <row r="95" spans="1:17" s="5" customFormat="1" x14ac:dyDescent="0.2">
      <c r="A95" s="19" t="s">
        <v>103</v>
      </c>
      <c r="B95" s="33"/>
      <c r="C95" s="33"/>
      <c r="D95" s="33"/>
      <c r="E95" s="83"/>
      <c r="F95" s="33"/>
      <c r="G95" s="33"/>
      <c r="H95" s="55"/>
      <c r="I95" s="61"/>
      <c r="J95" s="2"/>
      <c r="Q95" s="2"/>
    </row>
    <row r="96" spans="1:17" s="5" customFormat="1" x14ac:dyDescent="0.2">
      <c r="A96" s="19" t="s">
        <v>104</v>
      </c>
      <c r="B96" s="33"/>
      <c r="C96" s="33"/>
      <c r="D96" s="33"/>
      <c r="E96" s="83"/>
      <c r="F96" s="33"/>
      <c r="G96" s="33"/>
      <c r="H96" s="55"/>
      <c r="I96" s="61"/>
      <c r="J96" s="2"/>
      <c r="Q96" s="2"/>
    </row>
    <row r="97" spans="1:17" s="5" customFormat="1" x14ac:dyDescent="0.2">
      <c r="A97" s="19" t="s">
        <v>216</v>
      </c>
      <c r="B97" s="33"/>
      <c r="C97" s="33"/>
      <c r="D97" s="33"/>
      <c r="E97" s="83"/>
      <c r="F97" s="33"/>
      <c r="G97" s="33"/>
      <c r="H97" s="55"/>
      <c r="I97" s="61"/>
      <c r="J97" s="2"/>
      <c r="Q97" s="2"/>
    </row>
    <row r="98" spans="1:17" s="5" customFormat="1" x14ac:dyDescent="0.2">
      <c r="A98" s="19"/>
      <c r="B98" s="33"/>
      <c r="C98" s="33"/>
      <c r="D98" s="33"/>
      <c r="E98" s="83"/>
      <c r="F98" s="33"/>
      <c r="G98" s="33"/>
      <c r="H98" s="55"/>
      <c r="I98" s="61"/>
      <c r="J98" s="2"/>
      <c r="Q98" s="2"/>
    </row>
    <row r="99" spans="1:17" s="5" customFormat="1" x14ac:dyDescent="0.2">
      <c r="A99" s="59" t="s">
        <v>106</v>
      </c>
      <c r="B99" s="33"/>
      <c r="C99" s="33"/>
      <c r="D99" s="33"/>
      <c r="E99" s="83"/>
      <c r="F99" s="33"/>
      <c r="G99" s="33"/>
      <c r="H99" s="55" t="s">
        <v>107</v>
      </c>
      <c r="I99" s="54">
        <f>$C$75*5</f>
        <v>3.8026284230205465</v>
      </c>
      <c r="J99" s="2" t="s">
        <v>84</v>
      </c>
      <c r="Q99" s="2"/>
    </row>
    <row r="100" spans="1:17" s="5" customFormat="1" x14ac:dyDescent="0.2">
      <c r="A100" s="57" t="s">
        <v>212</v>
      </c>
      <c r="B100" s="33"/>
      <c r="C100" s="33"/>
      <c r="D100" s="33"/>
      <c r="E100" s="83"/>
      <c r="F100" s="33"/>
      <c r="G100" s="33"/>
      <c r="H100" s="55"/>
      <c r="I100" s="61"/>
      <c r="J100" s="2"/>
      <c r="Q100" s="2"/>
    </row>
    <row r="101" spans="1:17" s="5" customFormat="1" ht="13.5" customHeight="1" x14ac:dyDescent="0.2">
      <c r="A101" s="19"/>
      <c r="B101" s="33"/>
      <c r="C101" s="33"/>
      <c r="D101" s="33"/>
      <c r="E101" s="83"/>
      <c r="F101" s="33"/>
      <c r="G101" s="33"/>
      <c r="H101" s="55"/>
      <c r="I101" s="61"/>
      <c r="J101" s="2"/>
    </row>
    <row r="102" spans="1:17" s="5" customFormat="1" ht="13.5" customHeight="1" x14ac:dyDescent="0.2">
      <c r="A102" s="59" t="s">
        <v>109</v>
      </c>
      <c r="B102" s="33"/>
      <c r="C102" s="33"/>
      <c r="D102" s="33"/>
      <c r="E102" s="83"/>
      <c r="F102" s="33"/>
      <c r="G102" s="33"/>
      <c r="H102" s="55" t="s">
        <v>110</v>
      </c>
      <c r="I102" s="54">
        <f>$C$75*6</f>
        <v>4.5631541076246558</v>
      </c>
      <c r="J102" s="2" t="s">
        <v>84</v>
      </c>
    </row>
    <row r="103" spans="1:17" s="5" customFormat="1" ht="13.5" customHeight="1" x14ac:dyDescent="0.2">
      <c r="A103" s="57" t="s">
        <v>213</v>
      </c>
      <c r="B103" s="33"/>
      <c r="C103" s="33"/>
      <c r="D103" s="33"/>
      <c r="E103" s="83"/>
      <c r="F103" s="33"/>
      <c r="G103" s="33"/>
      <c r="H103" s="55" t="s">
        <v>112</v>
      </c>
      <c r="I103" s="61"/>
      <c r="J103" s="2"/>
    </row>
    <row r="104" spans="1:17" s="5" customFormat="1" ht="12.75" customHeight="1" x14ac:dyDescent="0.2">
      <c r="A104" s="19"/>
      <c r="B104" s="33"/>
      <c r="C104" s="33"/>
      <c r="D104" s="33"/>
      <c r="E104" s="83"/>
      <c r="F104" s="33"/>
      <c r="G104" s="33"/>
      <c r="H104" s="55"/>
      <c r="I104" s="61"/>
      <c r="J104" s="2"/>
    </row>
    <row r="105" spans="1:17" s="5" customFormat="1" x14ac:dyDescent="0.2">
      <c r="A105" s="59" t="s">
        <v>113</v>
      </c>
      <c r="B105" s="33"/>
      <c r="C105" s="33"/>
      <c r="D105" s="33"/>
      <c r="E105" s="83"/>
      <c r="F105" s="33"/>
      <c r="G105" s="33"/>
      <c r="H105" s="55" t="s">
        <v>114</v>
      </c>
      <c r="I105" s="54">
        <f>$C$75*7</f>
        <v>5.3236797922287646</v>
      </c>
      <c r="J105" s="2" t="s">
        <v>84</v>
      </c>
    </row>
    <row r="106" spans="1:17" s="5" customFormat="1" x14ac:dyDescent="0.2">
      <c r="A106" s="57" t="s">
        <v>235</v>
      </c>
      <c r="B106" s="33"/>
      <c r="C106" s="33"/>
      <c r="D106" s="33"/>
      <c r="E106" s="83"/>
      <c r="F106" s="33"/>
      <c r="G106" s="33"/>
    </row>
    <row r="107" spans="1:17" s="5" customFormat="1" x14ac:dyDescent="0.2">
      <c r="A107" s="19"/>
      <c r="B107" s="33"/>
      <c r="C107" s="33"/>
      <c r="D107" s="33"/>
      <c r="E107" s="83"/>
      <c r="F107" s="33"/>
      <c r="G107" s="33"/>
      <c r="H107" s="37"/>
      <c r="I107" s="61"/>
      <c r="J107" s="2"/>
    </row>
    <row r="108" spans="1:17" s="5" customFormat="1" x14ac:dyDescent="0.2">
      <c r="A108" s="19"/>
      <c r="B108" s="20"/>
      <c r="C108" s="39" t="s">
        <v>116</v>
      </c>
      <c r="D108" s="19"/>
      <c r="E108" s="80"/>
      <c r="F108" s="19"/>
      <c r="G108" s="19" t="s">
        <v>117</v>
      </c>
      <c r="H108" s="37"/>
      <c r="I108" s="37"/>
      <c r="J108" s="37"/>
    </row>
    <row r="109" spans="1:17" s="5" customFormat="1" x14ac:dyDescent="0.2">
      <c r="A109" s="19"/>
      <c r="B109" s="20"/>
      <c r="C109" s="39" t="s">
        <v>118</v>
      </c>
      <c r="D109" s="19"/>
      <c r="E109" s="80"/>
      <c r="F109" s="19"/>
      <c r="G109" s="19" t="s">
        <v>119</v>
      </c>
      <c r="H109" s="37"/>
      <c r="I109" s="37"/>
      <c r="J109" s="37"/>
    </row>
    <row r="110" spans="1:17" s="5" customFormat="1" x14ac:dyDescent="0.2">
      <c r="A110" s="19"/>
      <c r="B110" s="20"/>
      <c r="C110" s="39" t="s">
        <v>120</v>
      </c>
      <c r="D110" s="19"/>
      <c r="E110" s="80"/>
      <c r="F110" s="19"/>
      <c r="G110" s="19" t="s">
        <v>121</v>
      </c>
      <c r="H110" s="37"/>
      <c r="I110" s="37"/>
      <c r="J110" s="37"/>
    </row>
    <row r="111" spans="1:17" s="5" customFormat="1" x14ac:dyDescent="0.2">
      <c r="A111" s="19"/>
      <c r="B111" s="20"/>
      <c r="C111" s="39" t="s">
        <v>122</v>
      </c>
      <c r="D111" s="19"/>
      <c r="E111" s="80"/>
      <c r="F111" s="19"/>
      <c r="G111" s="19" t="s">
        <v>123</v>
      </c>
      <c r="H111" s="37"/>
      <c r="I111" s="37"/>
      <c r="J111" s="37"/>
    </row>
    <row r="112" spans="1:17" s="5" customFormat="1" x14ac:dyDescent="0.2">
      <c r="A112" s="39"/>
      <c r="B112" s="20"/>
      <c r="C112" s="39" t="s">
        <v>124</v>
      </c>
      <c r="D112" s="19"/>
      <c r="E112" s="80"/>
      <c r="F112" s="19"/>
      <c r="G112" s="19" t="s">
        <v>125</v>
      </c>
      <c r="H112" s="37"/>
      <c r="I112" s="37"/>
      <c r="J112" s="37"/>
    </row>
    <row r="113" spans="1:10" s="5" customFormat="1" x14ac:dyDescent="0.2">
      <c r="A113" s="39"/>
      <c r="B113" s="20"/>
      <c r="C113" s="39" t="s">
        <v>126</v>
      </c>
      <c r="D113" s="19"/>
      <c r="E113" s="80"/>
      <c r="F113" s="19"/>
      <c r="G113" s="19" t="s">
        <v>127</v>
      </c>
      <c r="H113" s="37"/>
      <c r="I113" s="37"/>
      <c r="J113" s="37"/>
    </row>
    <row r="114" spans="1:10" s="5" customFormat="1" x14ac:dyDescent="0.2">
      <c r="A114" s="39"/>
      <c r="B114" s="20"/>
      <c r="C114" s="19" t="s">
        <v>128</v>
      </c>
      <c r="D114" s="19"/>
      <c r="E114" s="80"/>
      <c r="F114" s="19"/>
      <c r="G114" s="19" t="s">
        <v>129</v>
      </c>
      <c r="H114" s="37"/>
      <c r="I114" s="37"/>
      <c r="J114" s="37"/>
    </row>
    <row r="115" spans="1:10" s="5" customFormat="1" x14ac:dyDescent="0.2">
      <c r="A115" s="39"/>
      <c r="B115" s="20"/>
      <c r="C115" s="19" t="s">
        <v>130</v>
      </c>
      <c r="D115" s="19"/>
      <c r="E115" s="80"/>
      <c r="F115" s="19"/>
      <c r="G115" s="19" t="s">
        <v>131</v>
      </c>
      <c r="H115" s="37"/>
      <c r="I115" s="37"/>
      <c r="J115" s="37"/>
    </row>
    <row r="116" spans="1:10" s="5" customFormat="1" x14ac:dyDescent="0.2">
      <c r="A116" s="39"/>
      <c r="B116" s="20"/>
      <c r="C116" s="19"/>
      <c r="D116" s="19"/>
      <c r="E116" s="80"/>
      <c r="F116" s="19"/>
      <c r="G116" s="19"/>
      <c r="H116" s="37"/>
      <c r="I116" s="37"/>
      <c r="J116" s="37"/>
    </row>
    <row r="117" spans="1:10" s="5" customFormat="1" x14ac:dyDescent="0.2">
      <c r="A117" s="39"/>
      <c r="B117" s="20"/>
      <c r="C117" s="19" t="s">
        <v>132</v>
      </c>
      <c r="D117" s="19"/>
      <c r="E117" s="80"/>
      <c r="F117" s="19"/>
      <c r="G117" s="19" t="s">
        <v>133</v>
      </c>
      <c r="H117" s="37"/>
      <c r="I117" s="37"/>
      <c r="J117" s="37"/>
    </row>
    <row r="118" spans="1:10" s="5" customFormat="1" x14ac:dyDescent="0.2">
      <c r="A118" s="39"/>
      <c r="B118" s="20"/>
      <c r="C118" s="19" t="s">
        <v>134</v>
      </c>
      <c r="D118" s="19"/>
      <c r="E118" s="80"/>
      <c r="F118" s="19"/>
      <c r="G118" s="19" t="s">
        <v>135</v>
      </c>
      <c r="H118" s="37"/>
      <c r="I118" s="37"/>
      <c r="J118" s="37"/>
    </row>
    <row r="119" spans="1:10" s="5" customFormat="1" x14ac:dyDescent="0.2">
      <c r="A119" s="39"/>
      <c r="B119" s="20"/>
      <c r="C119" s="19" t="s">
        <v>136</v>
      </c>
      <c r="D119" s="19"/>
      <c r="E119" s="80"/>
      <c r="F119" s="19"/>
      <c r="G119" s="19" t="s">
        <v>137</v>
      </c>
      <c r="H119" s="37"/>
      <c r="I119" s="37"/>
      <c r="J119" s="37"/>
    </row>
    <row r="120" spans="1:10" s="5" customFormat="1" x14ac:dyDescent="0.2">
      <c r="A120" s="39"/>
      <c r="B120" s="20"/>
      <c r="C120" s="19"/>
      <c r="D120" s="19"/>
      <c r="E120" s="80"/>
      <c r="F120" s="19"/>
      <c r="G120" s="19" t="s">
        <v>138</v>
      </c>
      <c r="H120" s="37"/>
      <c r="I120" s="37"/>
      <c r="J120" s="37"/>
    </row>
    <row r="121" spans="1:10" s="5" customFormat="1" x14ac:dyDescent="0.2">
      <c r="A121" s="39"/>
      <c r="B121" s="20"/>
      <c r="C121" s="19"/>
      <c r="D121" s="19"/>
      <c r="E121" s="80"/>
      <c r="F121" s="19"/>
      <c r="G121" s="19"/>
      <c r="H121" s="37"/>
      <c r="I121" s="37"/>
      <c r="J121" s="37"/>
    </row>
    <row r="122" spans="1:10" s="5" customFormat="1" x14ac:dyDescent="0.2">
      <c r="A122" s="39"/>
      <c r="B122" s="20"/>
      <c r="C122" s="19"/>
      <c r="D122" s="19"/>
      <c r="E122" s="80"/>
      <c r="F122" s="19"/>
      <c r="G122" s="19"/>
      <c r="H122" s="37"/>
      <c r="I122" s="37"/>
      <c r="J122" s="37"/>
    </row>
    <row r="123" spans="1:10" s="5" customFormat="1" x14ac:dyDescent="0.2">
      <c r="A123" s="39"/>
      <c r="B123" s="20"/>
      <c r="C123" s="41" t="s">
        <v>139</v>
      </c>
      <c r="D123" s="41"/>
      <c r="E123" s="85"/>
      <c r="F123" s="41"/>
      <c r="G123" s="41"/>
      <c r="H123" s="63"/>
      <c r="I123" s="63"/>
      <c r="J123" s="63"/>
    </row>
    <row r="124" spans="1:10" s="5" customFormat="1" x14ac:dyDescent="0.2">
      <c r="A124" s="39"/>
      <c r="B124" s="20"/>
      <c r="C124" s="41" t="s">
        <v>140</v>
      </c>
      <c r="D124" s="41"/>
      <c r="E124" s="85"/>
      <c r="F124" s="41"/>
      <c r="G124" s="41"/>
      <c r="H124" s="63"/>
      <c r="I124" s="63"/>
      <c r="J124" s="63"/>
    </row>
    <row r="125" spans="1:10" s="5" customFormat="1" x14ac:dyDescent="0.2">
      <c r="A125" s="39"/>
      <c r="B125" s="20"/>
      <c r="C125" s="41" t="s">
        <v>141</v>
      </c>
      <c r="D125" s="41"/>
      <c r="E125" s="85"/>
      <c r="F125" s="41"/>
      <c r="G125" s="41"/>
      <c r="H125" s="63"/>
      <c r="I125" s="63"/>
      <c r="J125" s="63"/>
    </row>
    <row r="126" spans="1:10" s="5" customFormat="1" x14ac:dyDescent="0.2">
      <c r="A126" s="39"/>
      <c r="B126" s="20"/>
      <c r="C126" s="41" t="s">
        <v>142</v>
      </c>
      <c r="D126" s="41"/>
      <c r="E126" s="85"/>
      <c r="F126" s="41"/>
      <c r="G126" s="41"/>
      <c r="H126" s="63"/>
      <c r="I126" s="63"/>
      <c r="J126" s="63"/>
    </row>
    <row r="127" spans="1:10" s="5" customFormat="1" x14ac:dyDescent="0.2">
      <c r="A127" s="39"/>
      <c r="B127" s="20"/>
      <c r="C127" s="41" t="s">
        <v>143</v>
      </c>
      <c r="D127" s="41"/>
      <c r="E127" s="85"/>
      <c r="F127" s="41"/>
      <c r="G127" s="41"/>
      <c r="H127" s="63"/>
      <c r="I127" s="63"/>
      <c r="J127" s="63"/>
    </row>
    <row r="128" spans="1:10" s="5" customFormat="1" x14ac:dyDescent="0.2">
      <c r="A128" s="39"/>
      <c r="B128" s="20"/>
      <c r="C128" s="41" t="s">
        <v>144</v>
      </c>
      <c r="D128" s="41"/>
      <c r="E128" s="85"/>
      <c r="F128" s="41"/>
      <c r="G128" s="41"/>
      <c r="H128" s="63"/>
      <c r="I128" s="63"/>
      <c r="J128" s="63"/>
    </row>
    <row r="129" spans="1:16" s="5" customFormat="1" ht="13.5" customHeight="1" x14ac:dyDescent="0.2">
      <c r="A129" s="2"/>
      <c r="B129" s="2"/>
      <c r="C129" s="41" t="s">
        <v>145</v>
      </c>
      <c r="D129" s="41"/>
      <c r="E129" s="85"/>
      <c r="F129" s="41"/>
      <c r="G129" s="41"/>
      <c r="H129" s="63"/>
      <c r="I129" s="63"/>
      <c r="J129" s="63"/>
    </row>
    <row r="130" spans="1:16" s="5" customFormat="1" x14ac:dyDescent="0.2">
      <c r="A130" s="2"/>
      <c r="B130" s="2"/>
      <c r="C130" s="41" t="s">
        <v>146</v>
      </c>
      <c r="D130" s="19"/>
      <c r="E130" s="80"/>
      <c r="F130" s="19"/>
      <c r="G130" s="19"/>
      <c r="H130" s="37"/>
      <c r="I130" s="37"/>
      <c r="J130" s="37"/>
    </row>
    <row r="131" spans="1:16" s="5" customFormat="1" x14ac:dyDescent="0.2">
      <c r="A131" s="2"/>
      <c r="B131" s="2"/>
      <c r="C131" s="41"/>
      <c r="D131" s="19"/>
      <c r="E131" s="80"/>
      <c r="F131" s="19"/>
      <c r="G131" s="19"/>
      <c r="H131" s="37"/>
      <c r="I131" s="37"/>
      <c r="J131" s="37"/>
    </row>
    <row r="132" spans="1:16" s="5" customFormat="1" x14ac:dyDescent="0.2">
      <c r="A132" s="2"/>
      <c r="B132" s="64"/>
      <c r="C132" s="64"/>
      <c r="D132" s="64"/>
      <c r="E132" s="86"/>
      <c r="F132" s="64"/>
      <c r="G132" s="64"/>
      <c r="H132" s="64"/>
      <c r="I132" s="64"/>
      <c r="J132" s="64"/>
    </row>
    <row r="134" spans="1:16" x14ac:dyDescent="0.2">
      <c r="C134" s="41"/>
      <c r="D134" s="19"/>
      <c r="E134" s="80"/>
      <c r="F134" s="19"/>
      <c r="G134" s="19"/>
      <c r="H134" s="37"/>
      <c r="I134" s="37"/>
      <c r="J134" s="37"/>
    </row>
    <row r="135" spans="1:16" x14ac:dyDescent="0.2">
      <c r="A135" s="43" t="s">
        <v>147</v>
      </c>
      <c r="B135" s="33"/>
      <c r="C135" s="33"/>
      <c r="D135" s="33"/>
      <c r="E135" s="83"/>
      <c r="F135" s="33"/>
      <c r="G135" s="33"/>
      <c r="H135" s="33"/>
      <c r="I135" s="33"/>
      <c r="J135" s="33"/>
    </row>
    <row r="136" spans="1:16" s="33" customFormat="1" x14ac:dyDescent="0.2">
      <c r="A136" s="19" t="s">
        <v>228</v>
      </c>
      <c r="B136" s="20"/>
      <c r="C136" s="19"/>
      <c r="D136" s="19"/>
      <c r="E136" s="80"/>
      <c r="F136" s="19"/>
      <c r="G136" s="19"/>
      <c r="H136" s="2"/>
      <c r="I136" s="54">
        <f>'1 1 2019'!I141*1.025</f>
        <v>1.0079185421042778</v>
      </c>
      <c r="J136" s="33" t="s">
        <v>149</v>
      </c>
      <c r="K136" s="34"/>
      <c r="L136" s="34"/>
      <c r="M136" s="34"/>
      <c r="N136" s="34"/>
      <c r="O136" s="34"/>
      <c r="P136" s="34"/>
    </row>
    <row r="137" spans="1:16" x14ac:dyDescent="0.2">
      <c r="A137" s="19" t="s">
        <v>150</v>
      </c>
      <c r="B137" s="20"/>
      <c r="C137" s="19"/>
      <c r="D137" s="19"/>
      <c r="E137" s="80"/>
      <c r="F137" s="19"/>
      <c r="G137" s="19"/>
      <c r="I137" s="54">
        <f>'1 1 2019'!I142*1.025</f>
        <v>1.0079185421042778</v>
      </c>
      <c r="J137" s="33" t="s">
        <v>151</v>
      </c>
    </row>
    <row r="138" spans="1:16" x14ac:dyDescent="0.2">
      <c r="A138" s="19" t="s">
        <v>152</v>
      </c>
      <c r="B138" s="33"/>
      <c r="C138" s="33"/>
      <c r="D138" s="33"/>
      <c r="E138" s="83"/>
      <c r="F138" s="33"/>
      <c r="G138" s="33"/>
      <c r="H138" s="33"/>
      <c r="I138" s="33"/>
      <c r="J138" s="33"/>
    </row>
    <row r="139" spans="1:16" s="33" customFormat="1" ht="6.75" customHeight="1" x14ac:dyDescent="0.2">
      <c r="A139" s="39"/>
      <c r="E139" s="83"/>
      <c r="K139" s="34"/>
      <c r="L139" s="34"/>
      <c r="M139" s="34"/>
      <c r="N139" s="34"/>
      <c r="O139" s="34"/>
      <c r="P139" s="34"/>
    </row>
    <row r="140" spans="1:16" s="33" customFormat="1" x14ac:dyDescent="0.2">
      <c r="A140" s="43" t="s">
        <v>153</v>
      </c>
      <c r="B140" s="20"/>
      <c r="C140" s="19"/>
      <c r="D140" s="19"/>
      <c r="E140" s="80"/>
      <c r="F140" s="19"/>
      <c r="G140" s="19"/>
      <c r="H140" s="37"/>
      <c r="I140" s="37"/>
      <c r="J140" s="37"/>
      <c r="K140" s="34"/>
      <c r="L140" s="34"/>
      <c r="M140" s="34"/>
      <c r="N140" s="34"/>
      <c r="O140" s="34"/>
      <c r="P140" s="34"/>
    </row>
    <row r="141" spans="1:16" x14ac:dyDescent="0.2">
      <c r="A141" s="33" t="s">
        <v>154</v>
      </c>
      <c r="B141" s="20"/>
      <c r="C141" s="19"/>
      <c r="D141" s="19"/>
      <c r="E141" s="80"/>
      <c r="F141" s="19"/>
      <c r="G141" s="19"/>
      <c r="H141" s="37"/>
      <c r="I141" s="37"/>
      <c r="J141" s="37"/>
    </row>
    <row r="142" spans="1:16" x14ac:dyDescent="0.2">
      <c r="A142" s="52">
        <f>'1 1 2019'!A147*1.025</f>
        <v>0.48484107214550509</v>
      </c>
      <c r="B142" s="66" t="s">
        <v>155</v>
      </c>
      <c r="C142" s="33"/>
      <c r="D142" s="33"/>
      <c r="E142" s="83"/>
      <c r="F142" s="33"/>
      <c r="G142" s="33"/>
      <c r="H142" s="33"/>
      <c r="I142" s="33"/>
      <c r="J142" s="37"/>
    </row>
    <row r="143" spans="1:16" x14ac:dyDescent="0.2">
      <c r="A143" s="67" t="s">
        <v>156</v>
      </c>
      <c r="B143" s="33"/>
      <c r="C143" s="33"/>
      <c r="D143" s="33"/>
      <c r="E143" s="83"/>
      <c r="F143" s="33"/>
      <c r="G143" s="33"/>
      <c r="H143" s="33"/>
      <c r="I143" s="33"/>
      <c r="J143" s="33"/>
    </row>
    <row r="144" spans="1:16" s="33" customFormat="1" x14ac:dyDescent="0.2">
      <c r="A144" s="67" t="s">
        <v>157</v>
      </c>
      <c r="E144" s="83"/>
      <c r="K144" s="34"/>
      <c r="L144" s="34"/>
      <c r="M144" s="34"/>
      <c r="N144" s="34"/>
      <c r="O144" s="34"/>
      <c r="P144" s="34"/>
    </row>
    <row r="145" spans="1:16" s="33" customFormat="1" x14ac:dyDescent="0.2">
      <c r="A145" s="39"/>
      <c r="B145" s="66"/>
      <c r="C145" s="66"/>
      <c r="E145" s="83"/>
      <c r="K145" s="34"/>
      <c r="L145" s="34"/>
      <c r="M145" s="34"/>
      <c r="N145" s="34"/>
      <c r="O145" s="34"/>
      <c r="P145" s="34"/>
    </row>
    <row r="146" spans="1:16" s="33" customFormat="1" x14ac:dyDescent="0.2">
      <c r="A146" s="56" t="s">
        <v>158</v>
      </c>
      <c r="E146" s="83"/>
      <c r="K146" s="34"/>
      <c r="L146" s="34"/>
      <c r="M146" s="34"/>
      <c r="N146" s="34"/>
      <c r="O146" s="34"/>
      <c r="P146" s="34"/>
    </row>
    <row r="147" spans="1:16" s="33" customFormat="1" x14ac:dyDescent="0.2">
      <c r="A147" s="33" t="s">
        <v>159</v>
      </c>
      <c r="B147" s="20"/>
      <c r="C147" s="68"/>
      <c r="D147" s="19"/>
      <c r="E147" s="80"/>
      <c r="F147" s="19"/>
      <c r="G147" s="19"/>
      <c r="I147" s="37"/>
      <c r="J147" s="37"/>
      <c r="K147" s="34"/>
      <c r="L147" s="34"/>
      <c r="M147" s="34"/>
      <c r="N147" s="34"/>
      <c r="O147" s="34"/>
      <c r="P147" s="34"/>
    </row>
    <row r="148" spans="1:16" x14ac:dyDescent="0.2">
      <c r="A148" s="33" t="s">
        <v>160</v>
      </c>
      <c r="B148" s="19"/>
      <c r="C148" s="19"/>
      <c r="D148" s="19"/>
      <c r="E148" s="80"/>
      <c r="F148" s="19"/>
      <c r="G148" s="19"/>
      <c r="H148" s="37"/>
      <c r="I148" s="37"/>
      <c r="J148" s="37"/>
    </row>
    <row r="149" spans="1:16" x14ac:dyDescent="0.2">
      <c r="A149" s="33" t="s">
        <v>161</v>
      </c>
      <c r="B149" s="69"/>
      <c r="C149" s="41"/>
      <c r="D149" s="41"/>
      <c r="E149" s="85"/>
      <c r="F149" s="41"/>
      <c r="G149" s="41"/>
      <c r="H149" s="63"/>
      <c r="I149" s="63"/>
      <c r="J149" s="63"/>
    </row>
    <row r="150" spans="1:16" x14ac:dyDescent="0.2">
      <c r="A150" s="33" t="s">
        <v>162</v>
      </c>
      <c r="B150" s="69"/>
      <c r="C150" s="41"/>
      <c r="D150" s="41"/>
      <c r="E150" s="85"/>
      <c r="F150" s="41"/>
      <c r="G150" s="41"/>
      <c r="H150" s="63"/>
      <c r="I150" s="63"/>
      <c r="J150" s="63"/>
    </row>
    <row r="151" spans="1:16" x14ac:dyDescent="0.2">
      <c r="A151" s="33" t="s">
        <v>163</v>
      </c>
      <c r="B151" s="69"/>
      <c r="C151" s="41"/>
      <c r="D151" s="41"/>
      <c r="E151" s="85"/>
      <c r="F151" s="41"/>
      <c r="G151" s="41"/>
      <c r="H151" s="63"/>
      <c r="I151" s="63"/>
      <c r="J151" s="63"/>
    </row>
    <row r="152" spans="1:16" x14ac:dyDescent="0.2">
      <c r="A152" s="33" t="s">
        <v>164</v>
      </c>
      <c r="B152" s="69"/>
      <c r="C152" s="41"/>
      <c r="D152" s="41"/>
      <c r="E152" s="85"/>
      <c r="F152" s="41"/>
      <c r="G152" s="41"/>
      <c r="H152" s="63"/>
      <c r="I152" s="63"/>
      <c r="J152" s="63"/>
    </row>
    <row r="153" spans="1:16" x14ac:dyDescent="0.2">
      <c r="A153" s="19" t="s">
        <v>165</v>
      </c>
      <c r="B153" s="69"/>
      <c r="C153" s="41"/>
      <c r="D153" s="41"/>
      <c r="E153" s="85"/>
      <c r="F153" s="41"/>
      <c r="G153" s="41"/>
      <c r="H153" s="63"/>
      <c r="I153" s="63"/>
      <c r="J153" s="63"/>
    </row>
    <row r="154" spans="1:16" x14ac:dyDescent="0.2">
      <c r="A154" s="19"/>
      <c r="B154" s="69"/>
      <c r="C154" s="41"/>
      <c r="D154" s="41"/>
      <c r="E154" s="85"/>
      <c r="F154" s="41"/>
      <c r="G154" s="41"/>
      <c r="H154" s="63"/>
      <c r="I154" s="63"/>
      <c r="J154" s="63"/>
    </row>
    <row r="155" spans="1:16" x14ac:dyDescent="0.2">
      <c r="A155" s="70" t="s">
        <v>166</v>
      </c>
      <c r="B155" s="69"/>
      <c r="C155" s="41"/>
      <c r="D155" s="41"/>
      <c r="E155" s="85"/>
      <c r="F155" s="41"/>
      <c r="G155" s="41"/>
      <c r="H155" s="63"/>
      <c r="I155" s="63"/>
      <c r="J155" s="63"/>
    </row>
    <row r="156" spans="1:16" x14ac:dyDescent="0.2">
      <c r="A156" s="39" t="s">
        <v>167</v>
      </c>
      <c r="B156" s="69"/>
      <c r="C156" s="41"/>
      <c r="D156" s="41"/>
      <c r="E156" s="85"/>
      <c r="F156" s="41"/>
      <c r="G156" s="41"/>
      <c r="H156" s="37"/>
      <c r="I156" s="37"/>
      <c r="J156" s="37"/>
    </row>
    <row r="157" spans="1:16" x14ac:dyDescent="0.2">
      <c r="A157" s="71"/>
      <c r="B157" s="20"/>
      <c r="C157" s="19"/>
      <c r="D157" s="19"/>
      <c r="E157" s="80"/>
      <c r="F157" s="19"/>
      <c r="G157" s="19"/>
      <c r="H157" s="37"/>
      <c r="I157" s="37"/>
      <c r="J157" s="37"/>
    </row>
    <row r="158" spans="1:16" x14ac:dyDescent="0.2">
      <c r="A158" s="70" t="s">
        <v>168</v>
      </c>
      <c r="B158" s="20"/>
      <c r="C158" s="19"/>
      <c r="D158" s="19"/>
      <c r="E158" s="80"/>
      <c r="F158" s="19"/>
      <c r="G158" s="19"/>
      <c r="H158" s="37"/>
      <c r="I158" s="37"/>
      <c r="J158" s="37"/>
    </row>
    <row r="159" spans="1:16" x14ac:dyDescent="0.2">
      <c r="A159" s="90" t="s">
        <v>218</v>
      </c>
      <c r="B159" s="20"/>
      <c r="C159" s="19"/>
      <c r="D159" s="19"/>
      <c r="E159" s="80"/>
      <c r="F159" s="19"/>
      <c r="G159" s="19"/>
      <c r="H159" s="37"/>
      <c r="I159" s="37"/>
      <c r="J159" s="37"/>
    </row>
    <row r="160" spans="1:16" x14ac:dyDescent="0.2">
      <c r="A160" s="90" t="s">
        <v>223</v>
      </c>
      <c r="B160" s="20"/>
      <c r="C160" s="19"/>
      <c r="D160" s="19"/>
      <c r="E160" s="80"/>
      <c r="F160" s="19"/>
      <c r="G160" s="19"/>
      <c r="H160" s="37"/>
      <c r="I160" s="37"/>
      <c r="J160" s="37"/>
    </row>
    <row r="161" spans="1:16" x14ac:dyDescent="0.2">
      <c r="A161" s="19" t="s">
        <v>220</v>
      </c>
      <c r="B161" s="20"/>
      <c r="C161" s="19"/>
      <c r="D161" s="19"/>
      <c r="E161" s="80"/>
      <c r="F161" s="19"/>
      <c r="G161" s="19"/>
      <c r="H161" s="37"/>
      <c r="I161" s="37"/>
      <c r="J161" s="37"/>
    </row>
    <row r="162" spans="1:16" x14ac:dyDescent="0.2">
      <c r="A162" s="19" t="s">
        <v>221</v>
      </c>
      <c r="B162" s="20"/>
      <c r="C162" s="19"/>
      <c r="D162" s="19"/>
      <c r="E162" s="80"/>
      <c r="F162" s="19"/>
      <c r="G162" s="19"/>
      <c r="H162" s="37"/>
      <c r="I162" s="37"/>
      <c r="J162" s="37"/>
    </row>
    <row r="163" spans="1:16" x14ac:dyDescent="0.2">
      <c r="A163" s="72"/>
      <c r="B163" s="33"/>
      <c r="C163" s="33"/>
      <c r="D163" s="33"/>
      <c r="E163" s="83"/>
      <c r="F163" s="33"/>
      <c r="G163" s="33"/>
      <c r="H163" s="33"/>
      <c r="I163" s="33"/>
      <c r="J163" s="33"/>
    </row>
    <row r="164" spans="1:16" x14ac:dyDescent="0.2">
      <c r="A164" s="70" t="s">
        <v>171</v>
      </c>
      <c r="B164" s="33"/>
      <c r="C164" s="33"/>
      <c r="D164" s="33"/>
      <c r="E164" s="83"/>
      <c r="F164" s="33"/>
      <c r="G164" s="33"/>
      <c r="H164" s="33"/>
      <c r="I164" s="33"/>
      <c r="J164" s="33"/>
    </row>
    <row r="165" spans="1:16" s="33" customFormat="1" x14ac:dyDescent="0.2">
      <c r="A165" s="57" t="s">
        <v>217</v>
      </c>
      <c r="E165" s="83"/>
      <c r="K165" s="34"/>
      <c r="L165" s="34"/>
      <c r="M165" s="34"/>
      <c r="N165" s="34"/>
      <c r="O165" s="34"/>
      <c r="P165" s="34"/>
    </row>
    <row r="166" spans="1:16" s="33" customFormat="1" x14ac:dyDescent="0.2">
      <c r="A166" s="72" t="s">
        <v>173</v>
      </c>
      <c r="B166" s="72"/>
      <c r="C166" s="72"/>
      <c r="D166" s="72"/>
      <c r="E166" s="87"/>
      <c r="F166" s="73"/>
      <c r="G166" s="73"/>
      <c r="H166" s="37"/>
      <c r="I166" s="37"/>
      <c r="J166" s="55"/>
      <c r="K166" s="34"/>
      <c r="L166" s="34"/>
      <c r="M166" s="34"/>
      <c r="N166" s="34"/>
      <c r="O166" s="34"/>
      <c r="P166" s="34"/>
    </row>
    <row r="167" spans="1:16" x14ac:dyDescent="0.2">
      <c r="A167" s="52">
        <f>'1 1 2019'!A172*1.025</f>
        <v>0.25043953599373425</v>
      </c>
      <c r="B167" s="57" t="s">
        <v>174</v>
      </c>
      <c r="C167" s="72"/>
      <c r="D167" s="72"/>
      <c r="E167" s="87"/>
      <c r="F167" s="73"/>
      <c r="G167" s="73"/>
      <c r="H167" s="37"/>
      <c r="I167" s="37"/>
      <c r="J167" s="55"/>
    </row>
    <row r="168" spans="1:16" s="5" customFormat="1" x14ac:dyDescent="0.2">
      <c r="A168" s="52">
        <f>'1 1 2019'!A173*1.025</f>
        <v>0.42068907277765211</v>
      </c>
      <c r="B168" s="57" t="s">
        <v>175</v>
      </c>
      <c r="C168" s="72"/>
      <c r="D168" s="72"/>
      <c r="E168" s="87"/>
      <c r="F168" s="73"/>
      <c r="G168" s="73"/>
      <c r="H168" s="37"/>
      <c r="I168" s="37"/>
      <c r="J168" s="55"/>
    </row>
    <row r="169" spans="1:16" s="5" customFormat="1" x14ac:dyDescent="0.2">
      <c r="A169" s="52">
        <f>'1 1 2019'!A174*1.025</f>
        <v>0.49841168739639713</v>
      </c>
      <c r="B169" s="57" t="s">
        <v>176</v>
      </c>
      <c r="C169" s="72"/>
      <c r="D169" s="72"/>
      <c r="E169" s="87"/>
      <c r="F169" s="73"/>
      <c r="G169" s="73"/>
      <c r="H169" s="37"/>
      <c r="I169" s="37"/>
      <c r="J169" s="55"/>
    </row>
    <row r="170" spans="1:16" s="5" customFormat="1" x14ac:dyDescent="0.2">
      <c r="A170" s="52">
        <f>'1 1 2019'!A175*1.025</f>
        <v>0.71554153141066923</v>
      </c>
      <c r="B170" s="57" t="s">
        <v>177</v>
      </c>
      <c r="C170" s="72"/>
      <c r="D170" s="72"/>
      <c r="E170" s="87"/>
      <c r="F170" s="73"/>
      <c r="G170" s="73"/>
      <c r="H170" s="37"/>
      <c r="I170" s="37"/>
      <c r="J170" s="55"/>
    </row>
    <row r="171" spans="1:16" s="5" customFormat="1" x14ac:dyDescent="0.2">
      <c r="A171" s="53"/>
      <c r="B171" s="57"/>
      <c r="C171" s="72"/>
      <c r="D171" s="72"/>
      <c r="E171" s="87"/>
      <c r="F171" s="73"/>
      <c r="G171" s="73"/>
      <c r="H171" s="37"/>
      <c r="I171" s="37"/>
      <c r="J171" s="55"/>
    </row>
    <row r="172" spans="1:16" s="5" customFormat="1" x14ac:dyDescent="0.2">
      <c r="A172" s="70" t="s">
        <v>178</v>
      </c>
      <c r="B172" s="2"/>
      <c r="C172" s="2"/>
      <c r="D172" s="2"/>
      <c r="E172" s="77"/>
      <c r="F172" s="2"/>
      <c r="G172" s="2"/>
      <c r="H172" s="2"/>
      <c r="I172" s="2"/>
      <c r="J172" s="2"/>
    </row>
    <row r="173" spans="1:16" s="5" customFormat="1" x14ac:dyDescent="0.2">
      <c r="A173" s="74" t="s">
        <v>179</v>
      </c>
      <c r="B173" s="2"/>
      <c r="C173" s="2"/>
      <c r="D173" s="2"/>
      <c r="E173" s="77"/>
      <c r="F173" s="2"/>
      <c r="G173" s="2"/>
      <c r="H173" s="2"/>
      <c r="I173" s="2"/>
      <c r="J173" s="2"/>
    </row>
    <row r="174" spans="1:16" s="5" customFormat="1" x14ac:dyDescent="0.2">
      <c r="A174" s="74" t="s">
        <v>204</v>
      </c>
      <c r="B174" s="2"/>
      <c r="C174" s="2"/>
      <c r="D174" s="2"/>
      <c r="E174" s="77"/>
      <c r="F174" s="2"/>
      <c r="G174" s="2"/>
      <c r="H174" s="2"/>
      <c r="I174" s="2"/>
      <c r="J174" s="2"/>
    </row>
    <row r="175" spans="1:16" s="5" customFormat="1" x14ac:dyDescent="0.2">
      <c r="A175" s="74"/>
      <c r="B175" s="2"/>
      <c r="C175" s="2"/>
      <c r="D175" s="2"/>
      <c r="E175" s="77"/>
      <c r="F175" s="2"/>
      <c r="G175" s="2"/>
      <c r="H175" s="2"/>
      <c r="I175" s="2"/>
      <c r="J175" s="2"/>
    </row>
    <row r="177" spans="1:1" x14ac:dyDescent="0.2">
      <c r="A177" s="70" t="s">
        <v>199</v>
      </c>
    </row>
  </sheetData>
  <printOptions gridLines="1"/>
  <pageMargins left="0.25" right="0.25" top="0.75" bottom="0.75" header="0.3" footer="0.3"/>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0.249977111117893"/>
  </sheetPr>
  <dimension ref="A1:AA154"/>
  <sheetViews>
    <sheetView topLeftCell="A52" zoomScale="110" zoomScaleNormal="110" workbookViewId="0">
      <selection activeCell="R15" sqref="R15"/>
    </sheetView>
  </sheetViews>
  <sheetFormatPr defaultColWidth="9.140625" defaultRowHeight="12.75" x14ac:dyDescent="0.2"/>
  <cols>
    <col min="1" max="1" width="10.140625" style="2" customWidth="1"/>
    <col min="2" max="2" width="7.85546875" style="2" customWidth="1"/>
    <col min="3" max="3" width="7.5703125" style="2" customWidth="1"/>
    <col min="4" max="4" width="66.28515625" style="2" bestFit="1" customWidth="1"/>
    <col min="5" max="5" width="4" style="77" bestFit="1" customWidth="1"/>
    <col min="6" max="6" width="7" style="2" bestFit="1" customWidth="1"/>
    <col min="7" max="7" width="4.85546875" style="2" bestFit="1" customWidth="1"/>
    <col min="8" max="8" width="19.85546875" style="2" bestFit="1" customWidth="1"/>
    <col min="9" max="10" width="10.140625" style="2" bestFit="1" customWidth="1"/>
    <col min="11" max="11" width="10.140625" style="5" bestFit="1" customWidth="1"/>
    <col min="12" max="12" width="9.7109375" style="5" bestFit="1" customWidth="1"/>
    <col min="13" max="13" width="0.140625" style="2" customWidth="1"/>
    <col min="14" max="14" width="8.7109375" style="116" bestFit="1" customWidth="1"/>
    <col min="15" max="15" width="35.28515625" style="116" bestFit="1" customWidth="1"/>
    <col min="16" max="16" width="19.5703125" style="117" bestFit="1" customWidth="1"/>
    <col min="17" max="17" width="11.28515625" style="117" bestFit="1" customWidth="1"/>
    <col min="18" max="20" width="7.42578125" style="117" bestFit="1" customWidth="1"/>
    <col min="21" max="16384" width="9.140625" style="2"/>
  </cols>
  <sheetData>
    <row r="1" spans="1:27" ht="15.75" x14ac:dyDescent="0.25">
      <c r="A1" s="89" t="s">
        <v>0</v>
      </c>
      <c r="D1" s="3"/>
      <c r="I1" s="4"/>
      <c r="J1" s="4"/>
    </row>
    <row r="2" spans="1:27" ht="15.75" x14ac:dyDescent="0.25">
      <c r="A2" s="89" t="s">
        <v>203</v>
      </c>
      <c r="D2" s="3"/>
      <c r="I2" s="4"/>
      <c r="J2" s="4"/>
      <c r="K2" s="6"/>
    </row>
    <row r="3" spans="1:27" x14ac:dyDescent="0.2">
      <c r="A3" s="1"/>
      <c r="D3" s="3"/>
      <c r="I3" s="4"/>
      <c r="J3" s="4"/>
    </row>
    <row r="4" spans="1:27" ht="25.5" x14ac:dyDescent="0.2">
      <c r="A4" s="106" t="s">
        <v>280</v>
      </c>
      <c r="B4" s="106" t="s">
        <v>279</v>
      </c>
      <c r="C4" s="106" t="s">
        <v>281</v>
      </c>
      <c r="D4" s="103" t="s">
        <v>5</v>
      </c>
      <c r="E4" s="103" t="s">
        <v>6</v>
      </c>
      <c r="F4" s="106" t="s">
        <v>277</v>
      </c>
      <c r="G4" s="106" t="s">
        <v>278</v>
      </c>
      <c r="H4" s="104" t="s">
        <v>191</v>
      </c>
      <c r="I4" s="105" t="s">
        <v>10</v>
      </c>
      <c r="J4" s="10"/>
      <c r="K4" s="11"/>
      <c r="L4" s="97"/>
      <c r="M4" s="98"/>
      <c r="N4" s="118" t="s">
        <v>280</v>
      </c>
      <c r="O4" s="119" t="s">
        <v>284</v>
      </c>
      <c r="P4" s="120" t="s">
        <v>191</v>
      </c>
      <c r="Q4" s="121" t="s">
        <v>10</v>
      </c>
    </row>
    <row r="5" spans="1:27" x14ac:dyDescent="0.2">
      <c r="A5" s="4" t="s">
        <v>12</v>
      </c>
      <c r="B5" s="4" t="s">
        <v>184</v>
      </c>
      <c r="C5" s="4">
        <v>21</v>
      </c>
      <c r="D5" s="14" t="s">
        <v>13</v>
      </c>
      <c r="E5" s="4">
        <v>303</v>
      </c>
      <c r="F5" s="4">
        <v>6</v>
      </c>
      <c r="G5" s="4" t="s">
        <v>14</v>
      </c>
      <c r="H5" s="15">
        <f>P5</f>
        <v>28.568113322024274</v>
      </c>
      <c r="I5" s="15">
        <f>Q5</f>
        <v>29.819948151317774</v>
      </c>
      <c r="J5" s="4"/>
      <c r="K5" s="16"/>
      <c r="L5" s="93"/>
      <c r="M5" s="93"/>
      <c r="N5" s="122" t="str">
        <f>A5</f>
        <v>01180C</v>
      </c>
      <c r="O5" s="116" t="str">
        <f>D5</f>
        <v>Automotive Mechanic</v>
      </c>
      <c r="P5" s="123">
        <v>28.568113322024274</v>
      </c>
      <c r="Q5" s="123">
        <v>29.819948151317774</v>
      </c>
    </row>
    <row r="6" spans="1:27" x14ac:dyDescent="0.2">
      <c r="A6" s="4" t="s">
        <v>249</v>
      </c>
      <c r="B6" s="4" t="s">
        <v>184</v>
      </c>
      <c r="C6" s="75" t="s">
        <v>194</v>
      </c>
      <c r="D6" s="3" t="s">
        <v>248</v>
      </c>
      <c r="E6" s="4">
        <v>328</v>
      </c>
      <c r="F6" s="4">
        <v>7</v>
      </c>
      <c r="G6" s="4" t="s">
        <v>14</v>
      </c>
      <c r="H6" s="15">
        <f t="shared" ref="H6:H12" si="0">P6</f>
        <v>31.149324999999997</v>
      </c>
      <c r="I6" s="15">
        <f t="shared" ref="I6:I12" si="1">Q6</f>
        <v>33.678260330492961</v>
      </c>
      <c r="J6" s="4"/>
      <c r="K6" s="16"/>
      <c r="L6" s="93"/>
      <c r="M6" s="93"/>
      <c r="N6" s="122" t="str">
        <f t="shared" ref="N6:N14" si="2">A6</f>
        <v xml:space="preserve">52930C </v>
      </c>
      <c r="O6" s="116" t="str">
        <f t="shared" ref="O6:O14" si="3">D6</f>
        <v>Fleet Equipment Repair Coordinator</v>
      </c>
      <c r="P6" s="123">
        <v>31.149324999999997</v>
      </c>
      <c r="Q6" s="123">
        <v>33.678260330492961</v>
      </c>
    </row>
    <row r="7" spans="1:27" x14ac:dyDescent="0.2">
      <c r="A7" s="4" t="s">
        <v>17</v>
      </c>
      <c r="B7" s="4" t="s">
        <v>184</v>
      </c>
      <c r="C7" s="75" t="s">
        <v>194</v>
      </c>
      <c r="D7" s="3" t="s">
        <v>18</v>
      </c>
      <c r="E7" s="4">
        <v>335</v>
      </c>
      <c r="F7" s="4">
        <v>7</v>
      </c>
      <c r="G7" s="4" t="s">
        <v>14</v>
      </c>
      <c r="H7" s="15">
        <f t="shared" si="0"/>
        <v>31.149191124644908</v>
      </c>
      <c r="I7" s="15">
        <f t="shared" si="1"/>
        <v>33.678260330492961</v>
      </c>
      <c r="J7" s="4"/>
      <c r="K7" s="16"/>
      <c r="L7" s="93"/>
      <c r="M7" s="93"/>
      <c r="N7" s="122" t="str">
        <f t="shared" si="2"/>
        <v>04520C</v>
      </c>
      <c r="O7" s="116" t="str">
        <f t="shared" si="3"/>
        <v>Foreman Auto Mechanic</v>
      </c>
      <c r="P7" s="123">
        <v>31.149191124644908</v>
      </c>
      <c r="Q7" s="123">
        <v>33.678260330492961</v>
      </c>
    </row>
    <row r="8" spans="1:27" x14ac:dyDescent="0.2">
      <c r="A8" s="4" t="s">
        <v>19</v>
      </c>
      <c r="B8" s="4" t="s">
        <v>184</v>
      </c>
      <c r="C8" s="75" t="s">
        <v>197</v>
      </c>
      <c r="D8" s="3" t="s">
        <v>20</v>
      </c>
      <c r="E8" s="4">
        <v>393</v>
      </c>
      <c r="F8" s="4">
        <v>8</v>
      </c>
      <c r="G8" s="4" t="s">
        <v>14</v>
      </c>
      <c r="H8" s="15">
        <f t="shared" si="0"/>
        <v>33.820981596054928</v>
      </c>
      <c r="I8" s="15">
        <f t="shared" si="1"/>
        <v>37.178559843512701</v>
      </c>
      <c r="J8" s="4"/>
      <c r="K8" s="16"/>
      <c r="L8" s="93"/>
      <c r="M8" s="93"/>
      <c r="N8" s="122" t="str">
        <f t="shared" si="2"/>
        <v>04820C</v>
      </c>
      <c r="O8" s="116" t="str">
        <f t="shared" si="3"/>
        <v>Foreman Paving Products Plant</v>
      </c>
      <c r="P8" s="123">
        <f>'1 1 2020'!H8-0.5</f>
        <v>33.820981596054928</v>
      </c>
      <c r="Q8" s="123">
        <v>37.178559843512701</v>
      </c>
      <c r="X8" s="160"/>
    </row>
    <row r="9" spans="1:27" x14ac:dyDescent="0.2">
      <c r="A9" s="4" t="s">
        <v>21</v>
      </c>
      <c r="B9" s="4" t="s">
        <v>184</v>
      </c>
      <c r="C9" s="75" t="s">
        <v>193</v>
      </c>
      <c r="D9" s="14" t="s">
        <v>22</v>
      </c>
      <c r="E9" s="4">
        <v>295</v>
      </c>
      <c r="F9" s="4">
        <v>6</v>
      </c>
      <c r="G9" s="4" t="s">
        <v>14</v>
      </c>
      <c r="H9" s="15">
        <f t="shared" si="0"/>
        <v>27.50858935056425</v>
      </c>
      <c r="I9" s="15">
        <f t="shared" si="1"/>
        <v>29.522410597688598</v>
      </c>
      <c r="J9" s="4"/>
      <c r="K9" s="16"/>
      <c r="L9" s="93"/>
      <c r="M9" s="93"/>
      <c r="N9" s="122" t="str">
        <f t="shared" si="2"/>
        <v>07115C</v>
      </c>
      <c r="O9" s="116" t="str">
        <f t="shared" si="3"/>
        <v>Metal Fabrication &amp; Welding Specialist</v>
      </c>
      <c r="P9" s="123">
        <v>27.50858935056425</v>
      </c>
      <c r="Q9" s="123">
        <v>29.522410597688598</v>
      </c>
      <c r="X9" s="161"/>
    </row>
    <row r="10" spans="1:27" x14ac:dyDescent="0.2">
      <c r="A10" s="4" t="s">
        <v>255</v>
      </c>
      <c r="B10" s="4" t="s">
        <v>184</v>
      </c>
      <c r="C10" s="75" t="s">
        <v>194</v>
      </c>
      <c r="D10" s="14" t="s">
        <v>251</v>
      </c>
      <c r="E10" s="4">
        <v>328</v>
      </c>
      <c r="F10" s="4">
        <v>7</v>
      </c>
      <c r="G10" s="4" t="s">
        <v>14</v>
      </c>
      <c r="H10" s="15">
        <f t="shared" si="0"/>
        <v>31.149324999999997</v>
      </c>
      <c r="I10" s="15">
        <f t="shared" si="1"/>
        <v>33.678260330492961</v>
      </c>
      <c r="J10" s="4"/>
      <c r="K10" s="16"/>
      <c r="L10" s="93"/>
      <c r="M10" s="93"/>
      <c r="N10" s="122" t="str">
        <f t="shared" si="2"/>
        <v>52973C</v>
      </c>
      <c r="O10" s="116" t="str">
        <f t="shared" si="3"/>
        <v>Sanitation Equipment Repair Coordinator</v>
      </c>
      <c r="P10" s="123">
        <v>31.149324999999997</v>
      </c>
      <c r="Q10" s="123">
        <v>33.678260330492961</v>
      </c>
      <c r="X10" s="160"/>
    </row>
    <row r="11" spans="1:27" x14ac:dyDescent="0.2">
      <c r="A11" s="4" t="s">
        <v>23</v>
      </c>
      <c r="B11" s="4" t="s">
        <v>184</v>
      </c>
      <c r="C11" s="75" t="s">
        <v>192</v>
      </c>
      <c r="D11" s="3" t="s">
        <v>214</v>
      </c>
      <c r="E11" s="4">
        <v>295</v>
      </c>
      <c r="F11" s="4">
        <v>6</v>
      </c>
      <c r="G11" s="4" t="s">
        <v>14</v>
      </c>
      <c r="H11" s="15">
        <f t="shared" si="0"/>
        <v>28.568113322024274</v>
      </c>
      <c r="I11" s="15">
        <f t="shared" si="1"/>
        <v>29.819948151317774</v>
      </c>
      <c r="J11" s="4"/>
      <c r="K11" s="16"/>
      <c r="L11" s="93"/>
      <c r="M11" s="93"/>
      <c r="N11" s="122" t="str">
        <f t="shared" si="2"/>
        <v>10960C</v>
      </c>
      <c r="O11" s="116" t="str">
        <f t="shared" si="3"/>
        <v>Welder, Shop</v>
      </c>
      <c r="P11" s="123">
        <v>28.568113322024274</v>
      </c>
      <c r="Q11" s="123">
        <v>29.819948151317774</v>
      </c>
    </row>
    <row r="12" spans="1:27" x14ac:dyDescent="0.2">
      <c r="A12" s="4" t="s">
        <v>25</v>
      </c>
      <c r="B12" s="4" t="s">
        <v>184</v>
      </c>
      <c r="C12" s="75" t="s">
        <v>195</v>
      </c>
      <c r="D12" s="3" t="s">
        <v>283</v>
      </c>
      <c r="E12" s="4">
        <v>285</v>
      </c>
      <c r="F12" s="4">
        <v>6</v>
      </c>
      <c r="G12" s="4" t="s">
        <v>14</v>
      </c>
      <c r="H12" s="15" t="str">
        <f t="shared" si="0"/>
        <v>N/A</v>
      </c>
      <c r="I12" s="15">
        <f t="shared" si="1"/>
        <v>31.47083571822818</v>
      </c>
      <c r="J12" s="4"/>
      <c r="K12" s="16"/>
      <c r="L12" s="93"/>
      <c r="M12" s="93"/>
      <c r="N12" s="122" t="str">
        <f t="shared" si="2"/>
        <v>08569C</v>
      </c>
      <c r="O12" s="116" t="str">
        <f t="shared" si="3"/>
        <v>Public Works Service Worker 2 (PWSW2)</v>
      </c>
      <c r="P12" s="123" t="s">
        <v>27</v>
      </c>
      <c r="Q12" s="123">
        <v>31.47083571822818</v>
      </c>
    </row>
    <row r="13" spans="1:27" s="5" customFormat="1" x14ac:dyDescent="0.2">
      <c r="A13" s="29"/>
      <c r="B13" s="29"/>
      <c r="C13" s="4"/>
      <c r="D13" s="28" t="s">
        <v>39</v>
      </c>
      <c r="E13" s="24"/>
      <c r="F13" s="24"/>
      <c r="G13" s="25"/>
      <c r="H13" s="4"/>
      <c r="I13" s="15"/>
      <c r="J13" s="4"/>
      <c r="K13" s="26"/>
      <c r="L13" s="26"/>
      <c r="M13" s="108"/>
      <c r="N13" s="122"/>
      <c r="O13" s="116"/>
      <c r="P13" s="123"/>
      <c r="Q13" s="123"/>
      <c r="R13" s="117"/>
      <c r="S13" s="117"/>
      <c r="T13" s="117"/>
      <c r="U13" s="2"/>
      <c r="V13" s="2"/>
      <c r="W13" s="2"/>
      <c r="X13" s="2"/>
      <c r="Y13" s="2"/>
      <c r="Z13" s="2"/>
      <c r="AA13" s="2"/>
    </row>
    <row r="14" spans="1:27" s="5" customFormat="1" x14ac:dyDescent="0.2">
      <c r="A14" s="29" t="s">
        <v>40</v>
      </c>
      <c r="B14" s="4" t="s">
        <v>184</v>
      </c>
      <c r="C14" s="4" t="s">
        <v>190</v>
      </c>
      <c r="D14" s="30" t="s">
        <v>41</v>
      </c>
      <c r="E14" s="4">
        <v>275</v>
      </c>
      <c r="F14" s="4">
        <v>6</v>
      </c>
      <c r="G14" s="25" t="s">
        <v>14</v>
      </c>
      <c r="H14" s="15">
        <f>P14</f>
        <v>28.292821123512589</v>
      </c>
      <c r="I14" s="15">
        <f>Q14</f>
        <v>29.558695665204354</v>
      </c>
      <c r="J14" s="4"/>
      <c r="K14" s="26"/>
      <c r="L14" s="26"/>
      <c r="M14" s="108"/>
      <c r="N14" s="122" t="str">
        <f t="shared" si="2"/>
        <v>02526C</v>
      </c>
      <c r="O14" s="116" t="str">
        <f t="shared" si="3"/>
        <v>PWSW2 - WU Shop</v>
      </c>
      <c r="P14" s="123">
        <v>28.292821123512589</v>
      </c>
      <c r="Q14" s="123">
        <v>29.558695665204354</v>
      </c>
      <c r="R14" s="117"/>
      <c r="S14" s="117"/>
      <c r="T14" s="117"/>
      <c r="U14" s="2"/>
      <c r="V14" s="2"/>
      <c r="W14" s="2"/>
      <c r="X14" s="2"/>
      <c r="Y14" s="2"/>
      <c r="Z14" s="2"/>
      <c r="AA14" s="2"/>
    </row>
    <row r="15" spans="1:27" x14ac:dyDescent="0.2">
      <c r="A15" s="4"/>
      <c r="B15" s="4"/>
      <c r="C15" s="75"/>
      <c r="D15" s="3"/>
      <c r="E15" s="4"/>
      <c r="F15" s="4"/>
      <c r="G15" s="4"/>
      <c r="H15" s="4"/>
      <c r="I15" s="15"/>
      <c r="J15" s="4"/>
      <c r="K15" s="16"/>
      <c r="L15" s="93"/>
      <c r="M15" s="93"/>
      <c r="N15" s="122"/>
    </row>
    <row r="16" spans="1:27" x14ac:dyDescent="0.2">
      <c r="A16" s="4"/>
      <c r="B16" s="4"/>
      <c r="C16" s="75"/>
      <c r="D16" s="3"/>
      <c r="E16" s="4"/>
      <c r="F16" s="4"/>
      <c r="G16" s="4"/>
      <c r="H16" s="4"/>
      <c r="I16" s="15"/>
      <c r="J16" s="4"/>
      <c r="K16" s="16"/>
      <c r="L16" s="93"/>
      <c r="M16" s="93"/>
      <c r="N16" s="122"/>
    </row>
    <row r="17" spans="1:27" x14ac:dyDescent="0.2">
      <c r="A17" s="4"/>
      <c r="B17" s="4"/>
      <c r="C17" s="75"/>
      <c r="D17" s="3"/>
      <c r="E17" s="4"/>
      <c r="F17" s="4"/>
      <c r="G17" s="4"/>
      <c r="H17" s="7" t="s">
        <v>10</v>
      </c>
      <c r="I17" s="7" t="s">
        <v>186</v>
      </c>
      <c r="J17" s="7" t="s">
        <v>187</v>
      </c>
      <c r="K17" s="7" t="s">
        <v>188</v>
      </c>
      <c r="L17" s="7" t="s">
        <v>189</v>
      </c>
    </row>
    <row r="18" spans="1:27"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18" t="s">
        <v>280</v>
      </c>
      <c r="O18" s="119" t="s">
        <v>284</v>
      </c>
      <c r="P18" s="119" t="s">
        <v>10</v>
      </c>
      <c r="Q18" s="119" t="s">
        <v>186</v>
      </c>
      <c r="R18" s="119" t="s">
        <v>187</v>
      </c>
      <c r="S18" s="119" t="s">
        <v>188</v>
      </c>
      <c r="T18" s="119" t="s">
        <v>189</v>
      </c>
      <c r="U18" s="2"/>
      <c r="V18" s="2"/>
      <c r="W18" s="2"/>
      <c r="X18" s="2"/>
      <c r="Y18" s="2"/>
      <c r="Z18" s="2"/>
      <c r="AA18" s="2"/>
    </row>
    <row r="19" spans="1:27" s="5" customFormat="1" x14ac:dyDescent="0.2">
      <c r="A19" s="4" t="s">
        <v>28</v>
      </c>
      <c r="B19" s="4" t="s">
        <v>184</v>
      </c>
      <c r="C19" s="4">
        <v>36</v>
      </c>
      <c r="D19" s="3" t="s">
        <v>29</v>
      </c>
      <c r="E19" s="4">
        <v>285</v>
      </c>
      <c r="F19" s="4">
        <v>6</v>
      </c>
      <c r="G19" s="20" t="s">
        <v>14</v>
      </c>
      <c r="H19" s="15">
        <f>P19</f>
        <v>28.20303419176582</v>
      </c>
      <c r="I19" s="15">
        <f>Q19</f>
        <v>29.174471671515754</v>
      </c>
      <c r="J19" s="15">
        <f>R19</f>
        <v>29.939926353753229</v>
      </c>
      <c r="K19" s="15">
        <f>S19</f>
        <v>30.705381035990705</v>
      </c>
      <c r="L19" s="15">
        <f>T19</f>
        <v>31.47083571822818</v>
      </c>
      <c r="M19" s="2"/>
      <c r="N19" s="122" t="str">
        <f>A19</f>
        <v>02624C</v>
      </c>
      <c r="O19" s="116" t="str">
        <f>D19</f>
        <v>PWSW2 Apprentice Program for  PWSW1's</v>
      </c>
      <c r="P19" s="123">
        <v>28.20303419176582</v>
      </c>
      <c r="Q19" s="123">
        <v>29.174471671515754</v>
      </c>
      <c r="R19" s="123">
        <v>29.939926353753229</v>
      </c>
      <c r="S19" s="123">
        <v>30.705381035990705</v>
      </c>
      <c r="T19" s="123">
        <v>31.47083571822818</v>
      </c>
      <c r="U19" s="2"/>
      <c r="V19" s="2"/>
      <c r="W19" s="2"/>
      <c r="X19" s="2"/>
      <c r="Y19" s="2"/>
      <c r="Z19" s="2"/>
      <c r="AA19" s="2"/>
    </row>
    <row r="20" spans="1:27" s="5" customFormat="1" x14ac:dyDescent="0.2">
      <c r="A20" s="4"/>
      <c r="B20" s="4"/>
      <c r="C20" s="4"/>
      <c r="D20" s="3"/>
      <c r="E20" s="4"/>
      <c r="F20" s="4"/>
      <c r="G20" s="20"/>
      <c r="H20" s="15"/>
      <c r="I20" s="15"/>
      <c r="J20" s="15"/>
      <c r="K20" s="15"/>
      <c r="L20" s="15"/>
      <c r="M20" s="2"/>
      <c r="N20" s="123"/>
      <c r="O20" s="116"/>
      <c r="P20" s="117"/>
      <c r="Q20" s="117"/>
      <c r="R20" s="117"/>
      <c r="S20" s="117"/>
      <c r="T20" s="117"/>
      <c r="U20" s="2"/>
      <c r="V20" s="2"/>
      <c r="W20" s="2"/>
      <c r="X20" s="2"/>
      <c r="Y20" s="2"/>
      <c r="Z20" s="2"/>
      <c r="AA20" s="2"/>
    </row>
    <row r="21" spans="1:27" s="5" customFormat="1" x14ac:dyDescent="0.2">
      <c r="A21" s="4"/>
      <c r="B21" s="4"/>
      <c r="C21" s="75"/>
      <c r="D21" s="3"/>
      <c r="E21" s="4"/>
      <c r="F21" s="4"/>
      <c r="G21" s="4"/>
      <c r="H21" s="7" t="s">
        <v>10</v>
      </c>
      <c r="I21" s="7" t="s">
        <v>186</v>
      </c>
      <c r="J21" s="7" t="s">
        <v>187</v>
      </c>
      <c r="K21" s="7" t="s">
        <v>188</v>
      </c>
      <c r="L21" s="7" t="s">
        <v>189</v>
      </c>
      <c r="M21" s="2"/>
      <c r="N21" s="123"/>
      <c r="O21" s="116"/>
      <c r="P21" s="117"/>
      <c r="Q21" s="117"/>
      <c r="R21" s="117"/>
      <c r="S21" s="117"/>
      <c r="T21" s="117"/>
      <c r="U21" s="2"/>
      <c r="V21" s="2"/>
      <c r="W21" s="2"/>
      <c r="X21" s="2"/>
      <c r="Y21" s="2"/>
      <c r="Z21" s="2"/>
      <c r="AA21" s="2"/>
    </row>
    <row r="22" spans="1:27"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18" t="s">
        <v>280</v>
      </c>
      <c r="O22" s="119" t="s">
        <v>284</v>
      </c>
      <c r="P22" s="119" t="s">
        <v>10</v>
      </c>
      <c r="Q22" s="119" t="s">
        <v>186</v>
      </c>
      <c r="R22" s="119" t="s">
        <v>187</v>
      </c>
      <c r="S22" s="119" t="s">
        <v>188</v>
      </c>
      <c r="T22" s="119" t="s">
        <v>189</v>
      </c>
      <c r="U22" s="2"/>
      <c r="V22" s="2"/>
      <c r="W22" s="2"/>
      <c r="X22" s="2"/>
      <c r="Y22" s="2"/>
      <c r="Z22" s="2"/>
      <c r="AA22" s="2"/>
    </row>
    <row r="23" spans="1:27" s="5" customFormat="1" x14ac:dyDescent="0.2">
      <c r="A23" s="29" t="s">
        <v>36</v>
      </c>
      <c r="B23" s="29" t="s">
        <v>184</v>
      </c>
      <c r="C23" s="4">
        <v>37</v>
      </c>
      <c r="D23" s="132" t="s">
        <v>37</v>
      </c>
      <c r="E23" s="24">
        <v>285</v>
      </c>
      <c r="F23" s="25">
        <v>6</v>
      </c>
      <c r="G23" s="4" t="s">
        <v>14</v>
      </c>
      <c r="H23" s="15">
        <f>P23</f>
        <v>29.087295132940707</v>
      </c>
      <c r="I23" s="15">
        <f>Q23</f>
        <v>29.844244518473541</v>
      </c>
      <c r="J23" s="15">
        <f>R23</f>
        <v>30.386441585058424</v>
      </c>
      <c r="K23" s="15">
        <f>S23</f>
        <v>30.928638651643304</v>
      </c>
      <c r="L23" s="15">
        <f>T23</f>
        <v>31.47083571822818</v>
      </c>
      <c r="M23" s="2"/>
      <c r="N23" s="122" t="str">
        <f>A23</f>
        <v>02622C</v>
      </c>
      <c r="O23" s="116" t="str">
        <f>D23</f>
        <v>PWSW2 Apprentice Program for MCL's</v>
      </c>
      <c r="P23" s="123">
        <v>29.087295132940707</v>
      </c>
      <c r="Q23" s="123">
        <v>29.844244518473541</v>
      </c>
      <c r="R23" s="123">
        <v>30.386441585058424</v>
      </c>
      <c r="S23" s="123">
        <v>30.928638651643304</v>
      </c>
      <c r="T23" s="123">
        <v>31.47083571822818</v>
      </c>
      <c r="U23" s="2"/>
      <c r="V23" s="2"/>
      <c r="W23" s="2"/>
      <c r="X23" s="2"/>
      <c r="Y23" s="2"/>
      <c r="Z23" s="2"/>
      <c r="AA23" s="2"/>
    </row>
    <row r="24" spans="1:27" s="5" customFormat="1" x14ac:dyDescent="0.2">
      <c r="A24" s="29"/>
      <c r="B24" s="29"/>
      <c r="C24" s="4"/>
      <c r="D24" s="23"/>
      <c r="E24" s="24"/>
      <c r="F24" s="24"/>
      <c r="G24" s="25"/>
      <c r="H24" s="4" t="s">
        <v>30</v>
      </c>
      <c r="I24" s="15"/>
      <c r="J24" s="4" t="s">
        <v>30</v>
      </c>
      <c r="K24" s="26"/>
      <c r="L24" s="26"/>
      <c r="M24" s="108"/>
      <c r="N24" s="124"/>
      <c r="O24" s="116"/>
      <c r="P24" s="117"/>
      <c r="Q24" s="117"/>
      <c r="R24" s="117"/>
      <c r="S24" s="117"/>
      <c r="T24" s="117"/>
      <c r="U24" s="2"/>
      <c r="V24" s="2"/>
      <c r="W24" s="2"/>
      <c r="X24" s="2"/>
      <c r="Y24" s="2"/>
      <c r="Z24" s="2"/>
      <c r="AA24" s="2"/>
    </row>
    <row r="25" spans="1:27"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18" t="s">
        <v>280</v>
      </c>
      <c r="O25" s="119" t="s">
        <v>284</v>
      </c>
      <c r="P25" s="119" t="s">
        <v>10</v>
      </c>
      <c r="Q25" s="119" t="s">
        <v>186</v>
      </c>
      <c r="R25" s="119" t="s">
        <v>187</v>
      </c>
      <c r="S25" s="119" t="s">
        <v>188</v>
      </c>
      <c r="T25" s="119" t="s">
        <v>189</v>
      </c>
      <c r="U25" s="2"/>
      <c r="V25" s="2"/>
      <c r="W25" s="2"/>
      <c r="X25" s="2"/>
      <c r="Y25" s="2"/>
      <c r="Z25" s="2"/>
      <c r="AA25" s="2"/>
    </row>
    <row r="26" spans="1:27" s="5" customFormat="1" x14ac:dyDescent="0.2">
      <c r="A26" s="29" t="s">
        <v>388</v>
      </c>
      <c r="B26" s="29" t="s">
        <v>184</v>
      </c>
      <c r="C26" s="4">
        <v>38</v>
      </c>
      <c r="D26" s="132" t="s">
        <v>389</v>
      </c>
      <c r="E26" s="24">
        <v>263</v>
      </c>
      <c r="F26" s="25">
        <v>5</v>
      </c>
      <c r="G26" s="25" t="s">
        <v>14</v>
      </c>
      <c r="H26" s="15">
        <f>P26</f>
        <v>17.7</v>
      </c>
      <c r="I26" s="15">
        <f>Q26</f>
        <v>20.72</v>
      </c>
      <c r="J26" s="15">
        <f>R26</f>
        <v>26.78</v>
      </c>
      <c r="K26" s="26"/>
      <c r="L26" s="26"/>
      <c r="M26" s="108"/>
      <c r="N26" s="124" t="str">
        <f>A26</f>
        <v>52919C</v>
      </c>
      <c r="O26" s="116" t="str">
        <f>D26</f>
        <v>Auto Mechanic Trainee</v>
      </c>
      <c r="P26" s="133">
        <v>17.7</v>
      </c>
      <c r="Q26" s="133">
        <v>20.72</v>
      </c>
      <c r="R26" s="133">
        <v>26.78</v>
      </c>
      <c r="S26" s="117"/>
      <c r="T26" s="117"/>
      <c r="U26" s="2"/>
      <c r="V26" s="2"/>
      <c r="W26" s="2"/>
      <c r="X26" s="2"/>
      <c r="Y26" s="2"/>
      <c r="Z26" s="2"/>
      <c r="AA26" s="2"/>
    </row>
    <row r="27" spans="1:27" s="5" customFormat="1" x14ac:dyDescent="0.2">
      <c r="A27" s="29"/>
      <c r="B27" s="29"/>
      <c r="C27" s="4"/>
      <c r="D27" s="23"/>
      <c r="E27" s="24"/>
      <c r="F27" s="24"/>
      <c r="G27" s="25"/>
      <c r="H27" s="4"/>
      <c r="I27" s="15"/>
      <c r="J27" s="4"/>
      <c r="K27" s="26"/>
      <c r="L27" s="26"/>
      <c r="M27" s="108"/>
      <c r="N27" s="124"/>
      <c r="O27" s="116"/>
      <c r="P27" s="117"/>
      <c r="Q27" s="117"/>
      <c r="R27" s="117"/>
      <c r="S27" s="117"/>
      <c r="T27" s="117"/>
      <c r="U27" s="2"/>
      <c r="V27" s="2"/>
      <c r="W27" s="2"/>
      <c r="X27" s="2"/>
      <c r="Y27" s="2"/>
      <c r="Z27" s="2"/>
      <c r="AA27" s="2"/>
    </row>
    <row r="28" spans="1:27" s="5" customFormat="1" ht="11.25" customHeight="1" x14ac:dyDescent="0.2">
      <c r="A28" s="29"/>
      <c r="B28" s="31"/>
      <c r="C28" s="31"/>
      <c r="D28" s="31"/>
      <c r="E28" s="82"/>
      <c r="F28" s="31"/>
      <c r="G28" s="31"/>
      <c r="H28" s="31"/>
      <c r="I28" s="31"/>
      <c r="J28" s="31"/>
      <c r="M28" s="2"/>
      <c r="N28" s="116"/>
      <c r="O28" s="116"/>
      <c r="P28" s="117"/>
      <c r="Q28" s="117"/>
      <c r="R28" s="117"/>
      <c r="S28" s="117"/>
      <c r="T28" s="117"/>
      <c r="U28" s="2"/>
      <c r="V28" s="2"/>
      <c r="W28" s="2"/>
      <c r="X28" s="2"/>
      <c r="Y28" s="2"/>
      <c r="Z28" s="2"/>
      <c r="AA28" s="2"/>
    </row>
    <row r="29" spans="1:27" x14ac:dyDescent="0.2">
      <c r="A29" s="2" t="str">
        <f>"A Supplemental Pension contribution of one dollar and fifty cents ("&amp;TEXT(P29,"$0.000")&amp;")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N29" s="116" t="s">
        <v>381</v>
      </c>
      <c r="O29" s="116" t="s">
        <v>375</v>
      </c>
      <c r="P29" s="130">
        <v>1.5</v>
      </c>
      <c r="Q29" s="131" t="s">
        <v>383</v>
      </c>
    </row>
    <row r="30" spans="1:27" s="33" customFormat="1" x14ac:dyDescent="0.2">
      <c r="A30" s="1"/>
      <c r="E30" s="83"/>
      <c r="N30" s="125"/>
      <c r="O30" s="125"/>
      <c r="P30" s="117"/>
      <c r="Q30" s="117"/>
      <c r="R30" s="117"/>
      <c r="S30" s="117"/>
      <c r="T30" s="117"/>
    </row>
    <row r="31" spans="1:27" s="33" customFormat="1" x14ac:dyDescent="0.2">
      <c r="A31" s="33" t="s">
        <v>324</v>
      </c>
      <c r="E31" s="83"/>
      <c r="K31" s="34"/>
      <c r="L31" s="34"/>
      <c r="N31" s="125"/>
      <c r="O31" s="125"/>
      <c r="P31" s="117"/>
      <c r="Q31" s="117"/>
      <c r="R31" s="117"/>
      <c r="S31" s="117"/>
      <c r="T31" s="117"/>
    </row>
    <row r="32" spans="1:27" s="33" customFormat="1" x14ac:dyDescent="0.2">
      <c r="A32" s="1"/>
      <c r="E32" s="83"/>
      <c r="K32" s="34"/>
      <c r="L32" s="34"/>
      <c r="N32" s="125"/>
      <c r="O32" s="125"/>
      <c r="P32" s="117"/>
      <c r="Q32" s="117"/>
      <c r="R32" s="117"/>
      <c r="S32" s="117"/>
      <c r="T32" s="117"/>
    </row>
    <row r="33" spans="1:20" s="33" customFormat="1" x14ac:dyDescent="0.2">
      <c r="A33" s="36" t="s">
        <v>226</v>
      </c>
      <c r="E33" s="83"/>
      <c r="K33" s="34"/>
      <c r="L33" s="34"/>
      <c r="N33" s="125"/>
      <c r="O33" s="125"/>
      <c r="P33" s="117"/>
      <c r="Q33" s="117"/>
      <c r="R33" s="117"/>
      <c r="S33" s="117"/>
      <c r="T33" s="117"/>
    </row>
    <row r="34" spans="1:20" x14ac:dyDescent="0.2">
      <c r="A34" s="36" t="s">
        <v>46</v>
      </c>
      <c r="F34" s="4"/>
      <c r="G34" s="35"/>
      <c r="H34" s="35"/>
      <c r="I34" s="35"/>
      <c r="J34" s="4"/>
    </row>
    <row r="35" spans="1:20" s="33" customFormat="1" x14ac:dyDescent="0.2">
      <c r="A35" s="18"/>
      <c r="B35" s="19"/>
      <c r="C35" s="19"/>
      <c r="D35" s="19"/>
      <c r="E35" s="84"/>
      <c r="F35" s="37"/>
      <c r="G35" s="38"/>
      <c r="H35" s="37"/>
      <c r="I35" s="37"/>
      <c r="J35" s="37"/>
      <c r="K35" s="2"/>
      <c r="L35" s="34"/>
      <c r="N35" s="125"/>
      <c r="O35" s="125"/>
      <c r="P35" s="117"/>
      <c r="Q35" s="117"/>
      <c r="R35" s="117"/>
      <c r="S35" s="117"/>
      <c r="T35" s="117"/>
    </row>
    <row r="36" spans="1:20" s="33" customFormat="1" x14ac:dyDescent="0.2">
      <c r="A36" s="39" t="s">
        <v>229</v>
      </c>
      <c r="E36" s="83"/>
      <c r="L36" s="34"/>
      <c r="M36" s="2"/>
      <c r="N36" s="125"/>
      <c r="O36" s="125"/>
      <c r="P36" s="117"/>
      <c r="Q36" s="117"/>
      <c r="R36" s="117"/>
      <c r="S36" s="117"/>
      <c r="T36" s="117"/>
    </row>
    <row r="37" spans="1:20" x14ac:dyDescent="0.2">
      <c r="A37" s="39" t="str">
        <f>"Paver (Blaw Knox &amp; Gilcrest), Brokk, or Curb Machine, they shall be paid a premium of "&amp;TEXT(P37,"$0.000")&amp;" per hour for all hours on the equipment."</f>
        <v>Paver (Blaw Knox &amp; Gilcrest), Brokk, or Curb Machine, they shall be paid a premium of $1.210 per hour for all hours on the equipment.</v>
      </c>
      <c r="B37" s="33"/>
      <c r="C37" s="33"/>
      <c r="D37" s="33"/>
      <c r="G37"/>
      <c r="H37"/>
      <c r="I37" s="33"/>
      <c r="J37" s="33"/>
      <c r="K37" s="33"/>
      <c r="M37" s="33"/>
      <c r="N37" s="116" t="s">
        <v>351</v>
      </c>
      <c r="O37" s="116" t="s">
        <v>352</v>
      </c>
      <c r="P37" s="123">
        <v>1.21</v>
      </c>
    </row>
    <row r="38" spans="1:20" s="33" customFormat="1" x14ac:dyDescent="0.2">
      <c r="A38" s="20"/>
      <c r="B38" s="19"/>
      <c r="C38" s="19"/>
      <c r="D38" s="19"/>
      <c r="E38" s="80"/>
      <c r="F38" s="19"/>
      <c r="G38" s="20"/>
      <c r="H38" s="37"/>
      <c r="I38" s="37"/>
      <c r="J38" s="37"/>
      <c r="K38" s="2"/>
      <c r="L38" s="34"/>
      <c r="N38" s="125"/>
      <c r="O38" s="125"/>
      <c r="P38" s="117"/>
      <c r="Q38" s="117"/>
      <c r="R38" s="117"/>
      <c r="S38" s="117"/>
      <c r="T38" s="117"/>
    </row>
    <row r="39" spans="1:20" s="33" customFormat="1" x14ac:dyDescent="0.2">
      <c r="A39" s="39" t="s">
        <v>230</v>
      </c>
      <c r="E39" s="83"/>
      <c r="G39" s="4"/>
      <c r="L39" s="34"/>
      <c r="N39" s="125"/>
      <c r="O39" s="125"/>
      <c r="P39" s="117"/>
      <c r="Q39" s="117"/>
      <c r="R39" s="117"/>
      <c r="S39" s="117"/>
      <c r="T39" s="117"/>
    </row>
    <row r="40" spans="1:20" x14ac:dyDescent="0.2">
      <c r="A40" s="39" t="str">
        <f>"Hydraulic Boom Crane (Carry Deck), or Boring Machine, they shall be paid a premium of "&amp;TEXT(P40,"$0.000")&amp;" per  hour for all hours on the equipment."</f>
        <v>Hydraulic Boom Crane (Carry Deck), or Boring Machine, they shall be paid a premium of $1.980 per  hour for all hours on the equipment.</v>
      </c>
      <c r="B40" s="33"/>
      <c r="C40" s="33"/>
      <c r="D40" s="33"/>
      <c r="G40"/>
      <c r="H40"/>
      <c r="I40" s="33"/>
      <c r="J40" s="33"/>
      <c r="K40" s="33"/>
      <c r="N40" s="116" t="s">
        <v>350</v>
      </c>
      <c r="O40" s="116" t="s">
        <v>349</v>
      </c>
      <c r="P40" s="123">
        <v>1.98</v>
      </c>
    </row>
    <row r="41" spans="1:20" s="33" customFormat="1" x14ac:dyDescent="0.2">
      <c r="A41" s="20"/>
      <c r="E41" s="83"/>
      <c r="G41" s="4"/>
      <c r="K41" s="34"/>
      <c r="L41" s="34"/>
      <c r="N41" s="125"/>
      <c r="O41" s="125"/>
      <c r="P41" s="117"/>
      <c r="Q41" s="117"/>
      <c r="R41" s="117"/>
      <c r="S41" s="117"/>
      <c r="T41" s="117"/>
    </row>
    <row r="42" spans="1:20" s="33" customFormat="1" x14ac:dyDescent="0.2">
      <c r="A42" s="20"/>
      <c r="E42" s="83"/>
      <c r="G42" s="4"/>
      <c r="K42" s="34"/>
      <c r="L42" s="34"/>
      <c r="N42" s="125"/>
      <c r="O42" s="125"/>
      <c r="P42" s="117"/>
      <c r="Q42" s="117"/>
      <c r="R42" s="117"/>
      <c r="S42" s="117"/>
      <c r="T42" s="117"/>
    </row>
    <row r="43" spans="1:20" x14ac:dyDescent="0.2">
      <c r="A43" s="91" t="s">
        <v>233</v>
      </c>
      <c r="C43" s="41"/>
      <c r="D43" s="19"/>
      <c r="E43" s="80"/>
      <c r="F43" s="19"/>
      <c r="G43"/>
      <c r="H43"/>
      <c r="I43" s="37"/>
      <c r="J43" s="37"/>
      <c r="P43" s="123"/>
    </row>
    <row r="44" spans="1:20" x14ac:dyDescent="0.2">
      <c r="A44" s="19" t="str">
        <f>TEXT(P44,"$0.000")&amp;" per hour shall be paid to all employees while operating a Class 'A' - combination vehicle as defined by Federal DOT regulations. "</f>
        <v xml:space="preserve">$1.814 per hour shall be paid to all employees while operating a Class 'A' - combination vehicle as defined by Federal DOT regulations. </v>
      </c>
      <c r="C44" s="41"/>
      <c r="D44" s="19"/>
      <c r="E44" s="80"/>
      <c r="F44" s="19"/>
      <c r="G44" s="19"/>
      <c r="H44" s="37"/>
      <c r="I44" s="37"/>
      <c r="J44" s="37"/>
      <c r="N44" s="116" t="s">
        <v>348</v>
      </c>
      <c r="O44" s="116" t="s">
        <v>347</v>
      </c>
      <c r="P44" s="123">
        <v>1.8140000000000001</v>
      </c>
    </row>
    <row r="45" spans="1:20" x14ac:dyDescent="0.2">
      <c r="A45" s="2" t="s">
        <v>215</v>
      </c>
      <c r="C45" s="41"/>
      <c r="D45" s="19"/>
      <c r="E45" s="80"/>
      <c r="F45" s="19"/>
      <c r="G45" s="19"/>
      <c r="H45" s="37"/>
      <c r="I45" s="37"/>
      <c r="J45" s="37"/>
    </row>
    <row r="46" spans="1:20" s="33" customFormat="1" x14ac:dyDescent="0.2">
      <c r="A46" s="20"/>
      <c r="E46" s="83"/>
      <c r="K46" s="34"/>
      <c r="L46" s="34"/>
      <c r="N46" s="125"/>
      <c r="O46" s="125"/>
      <c r="P46" s="117"/>
      <c r="Q46" s="117"/>
      <c r="R46" s="117"/>
      <c r="S46" s="117"/>
      <c r="T46" s="117"/>
    </row>
    <row r="47" spans="1:20" s="33" customFormat="1" x14ac:dyDescent="0.2">
      <c r="A47" s="43" t="s">
        <v>56</v>
      </c>
      <c r="B47" s="44"/>
      <c r="E47" s="83"/>
      <c r="K47" s="45"/>
      <c r="L47" s="34"/>
      <c r="N47" s="125"/>
      <c r="O47" s="125"/>
      <c r="P47" s="117"/>
      <c r="Q47" s="117"/>
      <c r="R47" s="117"/>
      <c r="S47" s="117"/>
      <c r="T47" s="117"/>
    </row>
    <row r="48" spans="1:20" s="33" customFormat="1" x14ac:dyDescent="0.2">
      <c r="A48" s="39" t="s">
        <v>227</v>
      </c>
      <c r="E48" s="83"/>
      <c r="L48" s="34"/>
      <c r="N48" s="125"/>
      <c r="O48" s="125"/>
      <c r="P48" s="117"/>
      <c r="Q48" s="117"/>
      <c r="R48" s="117"/>
      <c r="S48" s="117"/>
      <c r="T48" s="117"/>
    </row>
    <row r="49" spans="1:20" s="33" customFormat="1" x14ac:dyDescent="0.2">
      <c r="A49" s="39" t="str">
        <f>"of Plant Repair Worker, Plant Operator, and Blacksmith to receive an additional "&amp;TEXT(P49,"$0.000")&amp;" per hour for attaining and"</f>
        <v>of Plant Repair Worker, Plant Operator, and Blacksmith to receive an additional $0.302 per hour for attaining and</v>
      </c>
      <c r="E49" s="83"/>
      <c r="L49" s="34"/>
      <c r="N49" s="125" t="s">
        <v>342</v>
      </c>
      <c r="O49" s="125" t="s">
        <v>341</v>
      </c>
      <c r="P49" s="123">
        <v>0.30199999999999999</v>
      </c>
      <c r="Q49" s="117"/>
      <c r="R49" s="117"/>
      <c r="S49" s="117"/>
      <c r="T49" s="117"/>
    </row>
    <row r="50" spans="1:20" s="33" customFormat="1" x14ac:dyDescent="0.2">
      <c r="A50" s="33" t="s">
        <v>318</v>
      </c>
      <c r="E50" s="83"/>
      <c r="L50" s="45">
        <v>0.23699999999999999</v>
      </c>
      <c r="N50" s="125"/>
      <c r="O50" s="125"/>
      <c r="P50" s="117"/>
      <c r="Q50" s="117"/>
      <c r="R50" s="117"/>
      <c r="S50" s="117"/>
      <c r="T50" s="117"/>
    </row>
    <row r="51" spans="1:20" s="33" customFormat="1" x14ac:dyDescent="0.2">
      <c r="A51" s="39" t="s">
        <v>319</v>
      </c>
      <c r="E51" s="83"/>
      <c r="L51" s="34"/>
      <c r="N51" s="125"/>
      <c r="O51" s="125"/>
      <c r="P51" s="117"/>
      <c r="Q51" s="117"/>
      <c r="R51" s="117"/>
      <c r="S51" s="117"/>
      <c r="T51" s="117"/>
    </row>
    <row r="52" spans="1:20" s="33" customFormat="1" x14ac:dyDescent="0.2">
      <c r="A52" s="39" t="s">
        <v>320</v>
      </c>
      <c r="E52" s="83"/>
      <c r="L52" s="34"/>
      <c r="N52" s="125"/>
      <c r="O52" s="125"/>
      <c r="P52" s="117"/>
      <c r="Q52" s="117"/>
      <c r="R52" s="117"/>
      <c r="S52" s="117"/>
      <c r="T52" s="117"/>
    </row>
    <row r="53" spans="1:20" s="33" customFormat="1" x14ac:dyDescent="0.2">
      <c r="A53" s="39" t="s">
        <v>321</v>
      </c>
      <c r="E53" s="83"/>
      <c r="L53" s="34"/>
      <c r="N53" s="125"/>
      <c r="O53" s="125"/>
      <c r="P53" s="117"/>
      <c r="Q53" s="117"/>
      <c r="R53" s="117"/>
      <c r="S53" s="117"/>
      <c r="T53" s="117"/>
    </row>
    <row r="54" spans="1:20" s="33" customFormat="1" x14ac:dyDescent="0.2">
      <c r="A54" s="39" t="s">
        <v>322</v>
      </c>
      <c r="E54" s="83"/>
      <c r="L54" s="34"/>
      <c r="N54" s="125"/>
      <c r="O54" s="125"/>
      <c r="P54" s="117"/>
      <c r="Q54" s="117"/>
      <c r="R54" s="117"/>
      <c r="S54" s="117"/>
      <c r="T54" s="117"/>
    </row>
    <row r="55" spans="1:20" s="33" customFormat="1" x14ac:dyDescent="0.2">
      <c r="A55" s="39"/>
      <c r="E55" s="83"/>
      <c r="K55" s="34"/>
      <c r="L55" s="34"/>
      <c r="N55" s="125"/>
      <c r="O55" s="125"/>
      <c r="P55" s="117"/>
      <c r="Q55" s="117"/>
      <c r="R55" s="117"/>
      <c r="S55" s="117"/>
      <c r="T55" s="117"/>
    </row>
    <row r="56" spans="1:20" s="33" customFormat="1" x14ac:dyDescent="0.2">
      <c r="A56" s="39" t="s">
        <v>64</v>
      </c>
      <c r="E56" s="83"/>
      <c r="K56" s="34"/>
      <c r="L56" s="34"/>
      <c r="N56" s="125"/>
      <c r="O56" s="125"/>
      <c r="P56" s="117"/>
      <c r="Q56" s="117"/>
      <c r="R56" s="117"/>
      <c r="S56" s="117"/>
      <c r="T56" s="117"/>
    </row>
    <row r="57" spans="1:20" s="33" customFormat="1" x14ac:dyDescent="0.2">
      <c r="A57" s="39" t="s">
        <v>323</v>
      </c>
      <c r="E57" s="83"/>
      <c r="K57" s="34"/>
      <c r="L57" s="34"/>
      <c r="N57" s="125"/>
      <c r="O57" s="125"/>
      <c r="P57" s="117"/>
      <c r="Q57" s="117"/>
      <c r="R57" s="117"/>
      <c r="S57" s="117"/>
      <c r="T57" s="117"/>
    </row>
    <row r="58" spans="1:20" s="33" customFormat="1" x14ac:dyDescent="0.2">
      <c r="A58" s="47" t="str">
        <f>"Level A (as defined by OSHA) - "&amp;TEXT(P58,"$0.000")&amp;" per hour"</f>
        <v>Level A (as defined by OSHA) - $1.890 per hour</v>
      </c>
      <c r="E58" s="83"/>
      <c r="F58"/>
      <c r="G58"/>
      <c r="K58" s="34"/>
      <c r="L58" s="34"/>
      <c r="N58" s="125" t="s">
        <v>345</v>
      </c>
      <c r="O58" s="125" t="s">
        <v>343</v>
      </c>
      <c r="P58" s="126">
        <v>1.8900165967605946</v>
      </c>
      <c r="Q58" s="117"/>
      <c r="R58" s="117"/>
      <c r="S58" s="117"/>
      <c r="T58" s="117"/>
    </row>
    <row r="59" spans="1:20" s="33" customFormat="1" x14ac:dyDescent="0.2">
      <c r="A59" s="47" t="str">
        <f>"Level B (as defined by OSHA) - "&amp;TEXT(P59,"$0.000")&amp;" per hour"</f>
        <v>Level B (as defined by OSHA) - $1.360 per hour</v>
      </c>
      <c r="E59" s="83"/>
      <c r="F59"/>
      <c r="G59"/>
      <c r="K59" s="34"/>
      <c r="L59" s="34"/>
      <c r="N59" s="125" t="s">
        <v>346</v>
      </c>
      <c r="O59" s="125" t="s">
        <v>344</v>
      </c>
      <c r="P59" s="126">
        <v>1.3595289096802716</v>
      </c>
      <c r="Q59" s="117"/>
      <c r="R59" s="117"/>
      <c r="S59" s="117"/>
      <c r="T59" s="117"/>
    </row>
    <row r="60" spans="1:20" x14ac:dyDescent="0.2">
      <c r="A60" s="47" t="str">
        <f>"Level C (as defined by OSHA) - "&amp;TEXT(P60,"$0.000")&amp;" per hour"</f>
        <v>Level C (as defined by OSHA) - $0.907 per hour</v>
      </c>
      <c r="B60" s="20"/>
      <c r="C60" s="19"/>
      <c r="D60" s="19"/>
      <c r="E60" s="80"/>
      <c r="F60"/>
      <c r="G60"/>
      <c r="H60" s="37"/>
      <c r="I60" s="37"/>
      <c r="J60" s="37"/>
      <c r="K60" s="50"/>
      <c r="N60" s="116" t="s">
        <v>326</v>
      </c>
      <c r="O60" s="116" t="s">
        <v>325</v>
      </c>
      <c r="P60" s="126">
        <v>0.9067638372186928</v>
      </c>
    </row>
    <row r="61" spans="1:20" x14ac:dyDescent="0.2">
      <c r="A61" s="39"/>
      <c r="B61" s="20"/>
      <c r="C61" s="19"/>
      <c r="D61" s="19"/>
      <c r="E61" s="80"/>
      <c r="H61" s="37"/>
      <c r="I61" s="37"/>
      <c r="J61" s="37"/>
      <c r="K61" s="50"/>
      <c r="P61" s="127"/>
    </row>
    <row r="62" spans="1:20" x14ac:dyDescent="0.2">
      <c r="A62" s="43" t="s">
        <v>70</v>
      </c>
      <c r="B62" s="51"/>
      <c r="C62" s="19"/>
      <c r="D62" s="19"/>
      <c r="E62" s="80"/>
      <c r="H62" s="37"/>
      <c r="I62" s="37"/>
      <c r="J62" s="37"/>
      <c r="K62" s="50"/>
      <c r="P62" s="127"/>
    </row>
    <row r="63" spans="1:20" x14ac:dyDescent="0.2">
      <c r="A63" s="111" t="s">
        <v>285</v>
      </c>
      <c r="B63" s="39" t="s">
        <v>301</v>
      </c>
      <c r="C63" s="20"/>
      <c r="D63" s="19"/>
      <c r="E63" s="19"/>
      <c r="F63" s="19"/>
      <c r="G63" s="19"/>
      <c r="H63" s="37"/>
      <c r="I63" s="37"/>
      <c r="J63" s="37"/>
      <c r="P63" s="127"/>
    </row>
    <row r="64" spans="1:20" x14ac:dyDescent="0.2">
      <c r="A64" s="111" t="s">
        <v>285</v>
      </c>
      <c r="B64" s="39" t="s">
        <v>302</v>
      </c>
      <c r="C64" s="20"/>
      <c r="D64" s="19"/>
      <c r="E64" s="19"/>
      <c r="F64" s="19"/>
      <c r="G64" s="19"/>
      <c r="H64" s="37"/>
      <c r="I64" s="37"/>
      <c r="J64" s="37"/>
      <c r="P64" s="127"/>
    </row>
    <row r="65" spans="1:20" x14ac:dyDescent="0.2">
      <c r="A65" s="111"/>
      <c r="B65" s="109" t="str">
        <f>TEXT(P65,"$0.000")&amp;" per hour for attaining and maintaining each of the 2 Core certifications."</f>
        <v>$0.761 per hour for attaining and maintaining each of the 2 Core certifications.</v>
      </c>
      <c r="C65" s="39"/>
      <c r="D65" s="19"/>
      <c r="E65" s="19"/>
      <c r="F65" s="19"/>
      <c r="G65" s="19"/>
      <c r="H65" s="37"/>
      <c r="I65" s="37"/>
      <c r="J65" s="37"/>
      <c r="N65" s="116" t="s">
        <v>369</v>
      </c>
      <c r="O65" s="116" t="s">
        <v>370</v>
      </c>
      <c r="P65" s="126">
        <v>0.7605256846041093</v>
      </c>
    </row>
    <row r="66" spans="1:20" x14ac:dyDescent="0.2">
      <c r="A66" s="111" t="s">
        <v>285</v>
      </c>
      <c r="B66" s="39" t="s">
        <v>303</v>
      </c>
      <c r="C66" s="20"/>
      <c r="D66" s="19"/>
      <c r="E66" s="19"/>
      <c r="F66" s="19"/>
      <c r="G66" s="19"/>
      <c r="H66" s="53"/>
      <c r="I66" s="37"/>
      <c r="J66" s="37"/>
      <c r="P66" s="128"/>
    </row>
    <row r="67" spans="1:20" x14ac:dyDescent="0.2">
      <c r="A67" s="111"/>
      <c r="B67" s="109" t="str">
        <f>TEXT(P67,"$0.000")&amp;" for attaining and maintaining each of the 2 Supplemental certifications."</f>
        <v>$0.761 for attaining and maintaining each of the 2 Supplemental certifications.</v>
      </c>
      <c r="C67" s="18"/>
      <c r="D67" s="19"/>
      <c r="E67" s="19"/>
      <c r="F67" s="19"/>
      <c r="G67" s="19"/>
      <c r="I67" s="37"/>
      <c r="J67" s="37"/>
      <c r="K67" s="50"/>
      <c r="N67" s="116" t="s">
        <v>365</v>
      </c>
      <c r="O67" s="116" t="s">
        <v>366</v>
      </c>
      <c r="P67" s="126">
        <v>0.7605256846041093</v>
      </c>
    </row>
    <row r="68" spans="1:20" x14ac:dyDescent="0.2">
      <c r="A68" s="111" t="s">
        <v>285</v>
      </c>
      <c r="B68" s="39" t="s">
        <v>304</v>
      </c>
      <c r="C68" s="20"/>
      <c r="D68" s="19"/>
      <c r="E68" s="19"/>
      <c r="F68" s="19"/>
      <c r="G68" s="19"/>
      <c r="I68" s="37"/>
      <c r="J68" s="37"/>
      <c r="K68" s="50"/>
      <c r="P68" s="128"/>
    </row>
    <row r="69" spans="1:20" x14ac:dyDescent="0.2">
      <c r="A69" s="111" t="s">
        <v>285</v>
      </c>
      <c r="B69" s="39" t="s">
        <v>305</v>
      </c>
      <c r="C69" s="20"/>
      <c r="D69" s="19"/>
      <c r="E69" s="19"/>
      <c r="F69" s="19"/>
      <c r="G69" s="19"/>
      <c r="H69" s="37"/>
      <c r="I69" s="37"/>
      <c r="J69" s="37"/>
      <c r="P69" s="128"/>
    </row>
    <row r="70" spans="1:20" x14ac:dyDescent="0.2">
      <c r="A70" s="111"/>
      <c r="B70" s="115" t="str">
        <f>TEXT(P70,"$0.000")&amp;" per hour for each certification attained and maintained"</f>
        <v>$0.761 per hour for each certification attained and maintained</v>
      </c>
      <c r="C70" s="19"/>
      <c r="E70" s="2"/>
      <c r="F70" s="19"/>
      <c r="G70" s="19"/>
      <c r="H70" s="37"/>
      <c r="I70" s="37"/>
      <c r="J70" s="37"/>
      <c r="N70" s="116" t="s">
        <v>367</v>
      </c>
      <c r="O70" s="116" t="s">
        <v>368</v>
      </c>
      <c r="P70" s="129">
        <v>0.7605256846041093</v>
      </c>
    </row>
    <row r="71" spans="1:20" x14ac:dyDescent="0.2">
      <c r="A71" s="18"/>
      <c r="B71" s="20"/>
      <c r="C71" s="19"/>
      <c r="D71" s="19"/>
      <c r="E71" s="80"/>
      <c r="F71" s="19"/>
      <c r="G71" s="19"/>
      <c r="H71" s="37"/>
      <c r="I71" s="37"/>
      <c r="J71" s="37"/>
      <c r="N71" s="116" t="s">
        <v>401</v>
      </c>
      <c r="O71" s="116" t="s">
        <v>404</v>
      </c>
      <c r="P71" s="123">
        <f>P70</f>
        <v>0.7605256846041093</v>
      </c>
    </row>
    <row r="72" spans="1:20" x14ac:dyDescent="0.2">
      <c r="A72" s="43" t="s">
        <v>79</v>
      </c>
      <c r="B72" s="51"/>
      <c r="D72" s="19"/>
      <c r="E72" s="80"/>
      <c r="F72" s="19"/>
      <c r="G72" s="19"/>
      <c r="H72" s="37"/>
      <c r="I72"/>
      <c r="J72" s="37"/>
      <c r="K72" s="50"/>
    </row>
    <row r="73" spans="1:20" x14ac:dyDescent="0.2">
      <c r="A73" s="68" t="str">
        <f>TEXT(P75,"$0.000")&amp;" per hour for each certification group 'A' thorough 'D' attained and maintained."</f>
        <v>$0.761 per hour for each certification group 'A' thorough 'D' attained and maintained.</v>
      </c>
      <c r="B73" s="20"/>
      <c r="C73" s="19"/>
      <c r="D73" s="19"/>
      <c r="E73" s="80"/>
      <c r="F73" s="19"/>
      <c r="G73" s="19"/>
      <c r="H73" s="37"/>
      <c r="I73" s="37"/>
      <c r="J73" s="19"/>
      <c r="P73" s="129"/>
    </row>
    <row r="74" spans="1:20" x14ac:dyDescent="0.2">
      <c r="A74" s="39" t="s">
        <v>81</v>
      </c>
      <c r="B74" s="20"/>
      <c r="C74" s="19"/>
      <c r="D74" s="19"/>
      <c r="E74" s="80"/>
      <c r="F74" s="19"/>
      <c r="G74" s="19"/>
    </row>
    <row r="75" spans="1:20" x14ac:dyDescent="0.2">
      <c r="A75" s="113" t="s">
        <v>294</v>
      </c>
      <c r="B75" s="57" t="s">
        <v>85</v>
      </c>
      <c r="C75" s="19"/>
      <c r="D75" s="19"/>
      <c r="E75" s="80"/>
      <c r="F75" s="19"/>
      <c r="G75" s="19"/>
      <c r="H75"/>
      <c r="I75"/>
      <c r="N75" s="116" t="s">
        <v>331</v>
      </c>
      <c r="O75" s="116" t="s">
        <v>327</v>
      </c>
      <c r="P75" s="129">
        <v>0.7605256846041093</v>
      </c>
    </row>
    <row r="76" spans="1:20" x14ac:dyDescent="0.2">
      <c r="B76" s="57" t="s">
        <v>86</v>
      </c>
      <c r="D76" s="19"/>
      <c r="E76" s="80"/>
      <c r="F76" s="19"/>
      <c r="G76" s="19"/>
      <c r="H76" s="58"/>
      <c r="I76" s="33"/>
      <c r="J76" s="33"/>
    </row>
    <row r="77" spans="1:20" x14ac:dyDescent="0.2">
      <c r="B77" s="39" t="str">
        <f>"Truck or Automobile Technician tests, such employee shall be eligible for a wage adjustment of "&amp;TEXT(P75,"$0.000")&amp;"/hour"</f>
        <v>Truck or Automobile Technician tests, such employee shall be eligible for a wage adjustment of $0.761/hour</v>
      </c>
      <c r="C77" s="19"/>
      <c r="D77" s="19"/>
      <c r="E77" s="80"/>
      <c r="F77" s="19"/>
      <c r="G77" s="19"/>
      <c r="H77" s="58"/>
      <c r="I77" s="33"/>
      <c r="J77" s="33"/>
    </row>
    <row r="78" spans="1:20" x14ac:dyDescent="0.2">
      <c r="A78" s="114" t="s">
        <v>295</v>
      </c>
      <c r="B78" s="57" t="str">
        <f>"If an employee shows proof of successfully passing any four (4) of the ASE tests: "&amp;TEXT(P78,"$0.000")&amp;"/hour"</f>
        <v>If an employee shows proof of successfully passing any four (4) of the ASE tests: $1.521/hour</v>
      </c>
      <c r="C78" s="33"/>
      <c r="D78" s="33"/>
      <c r="E78" s="83"/>
      <c r="F78" s="33"/>
      <c r="G78" s="33"/>
      <c r="H78"/>
      <c r="I78"/>
      <c r="J78"/>
      <c r="K78" s="60"/>
      <c r="N78" s="116" t="s">
        <v>332</v>
      </c>
      <c r="O78" s="116" t="s">
        <v>328</v>
      </c>
      <c r="P78" s="129">
        <f>P75*2</f>
        <v>1.5210513692082186</v>
      </c>
    </row>
    <row r="79" spans="1:20" s="33" customFormat="1" x14ac:dyDescent="0.2">
      <c r="A79" s="113" t="s">
        <v>296</v>
      </c>
      <c r="B79" s="57" t="str">
        <f>"If an employee shows proof of successfully passing any six (6) of the ASE tests: "&amp;TEXT(P79,"$0.000")&amp;"/hour"</f>
        <v>If an employee shows proof of successfully passing any six (6) of the ASE tests: $2.282/hour</v>
      </c>
      <c r="E79" s="83"/>
      <c r="H79"/>
      <c r="I79"/>
      <c r="J79"/>
      <c r="K79" s="34"/>
      <c r="L79" s="34"/>
      <c r="N79" s="116" t="s">
        <v>333</v>
      </c>
      <c r="O79" s="116" t="s">
        <v>329</v>
      </c>
      <c r="P79" s="123">
        <f>P75*3</f>
        <v>2.2815770538123279</v>
      </c>
      <c r="Q79" s="117"/>
      <c r="R79" s="117"/>
      <c r="S79" s="117"/>
      <c r="T79" s="117"/>
    </row>
    <row r="80" spans="1:20" s="33" customFormat="1" x14ac:dyDescent="0.2">
      <c r="A80" s="113" t="s">
        <v>297</v>
      </c>
      <c r="B80" s="57" t="str">
        <f>"If an employee shows proof of successfully passing any eight (8) of the ASE tests: "&amp;TEXT(P80,"$0.000")&amp;"/hour"</f>
        <v>If an employee shows proof of successfully passing any eight (8) of the ASE tests: $3.042/hour</v>
      </c>
      <c r="E80" s="83"/>
      <c r="H80"/>
      <c r="I80"/>
      <c r="J80"/>
      <c r="K80" s="34"/>
      <c r="L80" s="34"/>
      <c r="N80" s="116" t="s">
        <v>334</v>
      </c>
      <c r="O80" s="116" t="s">
        <v>330</v>
      </c>
      <c r="P80" s="123">
        <f>P75*4</f>
        <v>3.0421027384164372</v>
      </c>
      <c r="Q80" s="117"/>
      <c r="R80" s="117"/>
      <c r="S80" s="117"/>
      <c r="T80" s="117"/>
    </row>
    <row r="81" spans="1:27" s="33" customFormat="1" x14ac:dyDescent="0.2">
      <c r="B81" s="20"/>
      <c r="C81" s="39"/>
      <c r="D81" s="19"/>
      <c r="E81" s="80"/>
      <c r="F81" s="19"/>
      <c r="G81" s="19"/>
      <c r="H81" s="55"/>
      <c r="I81" s="61"/>
      <c r="J81" s="2"/>
      <c r="K81" s="34"/>
      <c r="L81" s="34"/>
      <c r="N81" s="125"/>
      <c r="O81" s="125"/>
      <c r="P81" s="117"/>
      <c r="Q81" s="117"/>
      <c r="R81" s="117"/>
      <c r="S81" s="117"/>
      <c r="T81" s="117"/>
    </row>
    <row r="82" spans="1:27" s="5" customFormat="1" x14ac:dyDescent="0.2">
      <c r="A82" s="43" t="s">
        <v>210</v>
      </c>
      <c r="B82" s="33"/>
      <c r="C82" s="33"/>
      <c r="D82" s="33"/>
      <c r="E82" s="83"/>
      <c r="F82" s="33"/>
      <c r="G82" s="33"/>
      <c r="H82" s="55"/>
      <c r="I82" s="61"/>
      <c r="J82" s="2"/>
      <c r="K82" s="60"/>
      <c r="M82" s="2"/>
      <c r="N82" s="116"/>
      <c r="O82" s="116"/>
      <c r="P82" s="117"/>
      <c r="Q82" s="117"/>
      <c r="R82" s="117"/>
      <c r="S82" s="117"/>
      <c r="T82" s="117"/>
      <c r="U82" s="2"/>
      <c r="V82" s="2"/>
      <c r="W82" s="2"/>
      <c r="X82" s="2"/>
      <c r="Y82" s="2"/>
      <c r="Z82" s="2"/>
      <c r="AA82" s="2"/>
    </row>
    <row r="83" spans="1:27" s="5" customFormat="1" x14ac:dyDescent="0.2">
      <c r="A83" s="101" t="s">
        <v>211</v>
      </c>
      <c r="B83" s="33"/>
      <c r="C83" s="33"/>
      <c r="D83" s="33"/>
      <c r="E83" s="83"/>
      <c r="F83" s="33"/>
      <c r="G83" s="33"/>
      <c r="H83" s="55"/>
      <c r="I83" s="61"/>
      <c r="J83" s="2"/>
      <c r="K83" s="60"/>
      <c r="M83" s="2"/>
      <c r="N83" s="116"/>
      <c r="O83" s="116"/>
      <c r="P83" s="117"/>
      <c r="Q83" s="117"/>
      <c r="R83" s="117"/>
      <c r="S83" s="117"/>
      <c r="T83" s="117"/>
      <c r="U83" s="2"/>
      <c r="V83" s="2"/>
      <c r="W83" s="2"/>
      <c r="X83" s="2"/>
      <c r="Y83" s="2"/>
      <c r="Z83" s="2"/>
      <c r="AA83" s="2"/>
    </row>
    <row r="84" spans="1:27" s="5" customFormat="1" x14ac:dyDescent="0.2">
      <c r="A84" s="19" t="s">
        <v>102</v>
      </c>
      <c r="B84" s="33"/>
      <c r="C84" s="33"/>
      <c r="D84" s="33"/>
      <c r="E84" s="83"/>
      <c r="F84" s="33"/>
      <c r="G84" s="33"/>
      <c r="H84" s="55"/>
      <c r="I84" s="61"/>
      <c r="J84" s="2"/>
      <c r="K84" s="60"/>
      <c r="M84" s="2"/>
      <c r="N84" s="116"/>
      <c r="O84" s="116"/>
      <c r="P84" s="117"/>
      <c r="Q84" s="117"/>
      <c r="R84" s="117"/>
      <c r="S84" s="117"/>
      <c r="T84" s="117"/>
      <c r="U84" s="2"/>
      <c r="V84" s="2"/>
      <c r="W84" s="2"/>
      <c r="X84" s="2"/>
      <c r="Y84" s="2"/>
      <c r="Z84" s="2"/>
      <c r="AA84" s="2"/>
    </row>
    <row r="85" spans="1:27" s="5" customFormat="1" x14ac:dyDescent="0.2">
      <c r="A85" s="19" t="s">
        <v>103</v>
      </c>
      <c r="B85" s="33"/>
      <c r="C85" s="33"/>
      <c r="D85" s="33"/>
      <c r="E85" s="83"/>
      <c r="F85" s="33"/>
      <c r="G85" s="33"/>
      <c r="H85" s="55"/>
      <c r="I85" s="61"/>
      <c r="J85" s="2"/>
      <c r="K85" s="60"/>
      <c r="M85" s="2"/>
      <c r="N85" s="116"/>
      <c r="O85" s="116"/>
      <c r="P85" s="117"/>
      <c r="Q85" s="117"/>
      <c r="R85" s="117"/>
      <c r="S85" s="117"/>
      <c r="T85" s="117"/>
      <c r="U85" s="2"/>
      <c r="V85" s="2"/>
      <c r="W85" s="2"/>
      <c r="X85" s="2"/>
      <c r="Y85" s="2"/>
      <c r="Z85" s="2"/>
      <c r="AA85" s="2"/>
    </row>
    <row r="86" spans="1:27" s="5" customFormat="1" x14ac:dyDescent="0.2">
      <c r="A86" s="19" t="s">
        <v>104</v>
      </c>
      <c r="B86" s="33"/>
      <c r="C86" s="33"/>
      <c r="D86" s="33"/>
      <c r="E86" s="83"/>
      <c r="F86" s="33"/>
      <c r="G86" s="33"/>
      <c r="H86" s="55"/>
      <c r="I86" s="61"/>
      <c r="J86" s="2"/>
      <c r="K86" s="60"/>
      <c r="M86" s="2"/>
      <c r="N86" s="116"/>
      <c r="O86" s="116"/>
      <c r="P86" s="117"/>
      <c r="Q86" s="117"/>
      <c r="R86" s="117"/>
      <c r="S86" s="117"/>
      <c r="T86" s="117"/>
      <c r="U86" s="2"/>
      <c r="V86" s="2"/>
      <c r="W86" s="2"/>
      <c r="X86" s="2"/>
      <c r="Y86" s="2"/>
      <c r="Z86" s="2"/>
      <c r="AA86" s="2"/>
    </row>
    <row r="87" spans="1:27" s="5" customFormat="1" x14ac:dyDescent="0.2">
      <c r="A87" s="19" t="s">
        <v>293</v>
      </c>
      <c r="B87" s="33"/>
      <c r="C87" s="33"/>
      <c r="D87" s="33"/>
      <c r="E87" s="83"/>
      <c r="F87" s="33"/>
      <c r="G87" s="33"/>
      <c r="H87" s="55"/>
      <c r="I87" s="61"/>
      <c r="J87" s="2"/>
      <c r="K87" s="60"/>
      <c r="M87" s="2"/>
      <c r="N87" s="116"/>
      <c r="O87" s="116"/>
      <c r="P87" s="117"/>
      <c r="Q87" s="117"/>
      <c r="R87" s="117"/>
      <c r="S87" s="117"/>
      <c r="T87" s="117"/>
      <c r="U87" s="2"/>
      <c r="V87" s="2"/>
      <c r="W87" s="2"/>
      <c r="X87" s="2"/>
      <c r="Y87" s="2"/>
      <c r="Z87" s="2"/>
      <c r="AA87" s="2"/>
    </row>
    <row r="88" spans="1:27" s="5" customFormat="1" x14ac:dyDescent="0.2">
      <c r="A88" s="113" t="s">
        <v>298</v>
      </c>
      <c r="B88" s="57" t="str">
        <f>"If an employee shows proof of successfully passing any ten (10) of the ASE tests: "&amp;TEXT(P88,"$0.000")&amp;"/hour"</f>
        <v>If an employee shows proof of successfully passing any ten (10) of the ASE tests: $3.803/hour</v>
      </c>
      <c r="C88" s="33"/>
      <c r="D88" s="33"/>
      <c r="E88" s="83"/>
      <c r="F88" s="33"/>
      <c r="G88" s="33"/>
      <c r="H88"/>
      <c r="I88"/>
      <c r="J88"/>
      <c r="K88" s="60"/>
      <c r="M88" s="2"/>
      <c r="N88" s="116" t="s">
        <v>338</v>
      </c>
      <c r="O88" s="116" t="s">
        <v>335</v>
      </c>
      <c r="P88" s="123">
        <v>3.8029999999999999</v>
      </c>
      <c r="Q88" s="117"/>
      <c r="R88" s="117"/>
      <c r="S88" s="117"/>
      <c r="T88" s="117"/>
      <c r="U88" s="2"/>
      <c r="V88" s="2"/>
      <c r="W88" s="2"/>
      <c r="X88" s="2"/>
      <c r="Y88" s="2"/>
      <c r="Z88" s="2"/>
      <c r="AA88" s="2"/>
    </row>
    <row r="89" spans="1:27" s="5" customFormat="1" ht="13.5" customHeight="1" x14ac:dyDescent="0.2">
      <c r="A89" s="113" t="s">
        <v>299</v>
      </c>
      <c r="B89" s="57" t="str">
        <f>"If an employee shows proof of successfully passing any twelve (12) of the ASE tests: "&amp;TEXT(P89,"$0.000")&amp;"/hour"</f>
        <v>If an employee shows proof of successfully passing any twelve (12) of the ASE tests: $4.563/hour</v>
      </c>
      <c r="C89" s="33"/>
      <c r="D89" s="33"/>
      <c r="E89" s="83"/>
      <c r="F89" s="33"/>
      <c r="G89" s="33"/>
      <c r="H89" s="55"/>
      <c r="I89" s="61"/>
      <c r="J89" s="2"/>
      <c r="K89" s="60"/>
      <c r="M89" s="2"/>
      <c r="N89" s="116" t="s">
        <v>339</v>
      </c>
      <c r="O89" s="116" t="s">
        <v>336</v>
      </c>
      <c r="P89" s="123">
        <v>4.5629999999999997</v>
      </c>
      <c r="Q89" s="117"/>
      <c r="R89" s="117"/>
      <c r="S89" s="117"/>
      <c r="T89" s="117"/>
      <c r="U89" s="2"/>
      <c r="V89" s="2"/>
      <c r="W89" s="2"/>
      <c r="X89" s="2"/>
      <c r="Y89" s="2"/>
      <c r="Z89" s="2"/>
      <c r="AA89" s="2"/>
    </row>
    <row r="90" spans="1:27" s="5" customFormat="1" x14ac:dyDescent="0.2">
      <c r="A90" s="113" t="s">
        <v>300</v>
      </c>
      <c r="B90" s="57" t="str">
        <f>"If an employee shows proof of successfully passing any fourteen (14) of the ASE tests: "&amp;TEXT(P90,"$0.000")&amp;" /hour"</f>
        <v>If an employee shows proof of successfully passing any fourteen (14) of the ASE tests: $5.324 /hour</v>
      </c>
      <c r="C90" s="33"/>
      <c r="D90" s="33"/>
      <c r="E90" s="83"/>
      <c r="F90" s="33"/>
      <c r="G90" s="33"/>
      <c r="H90" s="55"/>
      <c r="I90" s="61"/>
      <c r="J90" s="2"/>
      <c r="K90" s="60"/>
      <c r="M90" s="2"/>
      <c r="N90" s="116" t="s">
        <v>340</v>
      </c>
      <c r="O90" s="116" t="s">
        <v>337</v>
      </c>
      <c r="P90" s="123">
        <v>5.3239999999999998</v>
      </c>
      <c r="Q90" s="117"/>
      <c r="R90" s="117"/>
      <c r="S90" s="117"/>
      <c r="T90" s="117"/>
      <c r="U90" s="2"/>
      <c r="V90" s="2"/>
      <c r="W90" s="2"/>
      <c r="X90" s="2"/>
      <c r="Y90" s="2"/>
      <c r="Z90" s="2"/>
      <c r="AA90" s="2"/>
    </row>
    <row r="91" spans="1:27" s="5" customFormat="1" x14ac:dyDescent="0.2">
      <c r="A91" s="19"/>
      <c r="B91" s="33"/>
      <c r="C91" s="33"/>
      <c r="D91" s="33"/>
      <c r="E91" s="83"/>
      <c r="F91" s="33"/>
      <c r="G91" s="33"/>
      <c r="H91" s="37"/>
      <c r="I91" s="61"/>
      <c r="J91" s="2"/>
      <c r="K91" s="60"/>
      <c r="M91" s="2"/>
      <c r="N91" s="116"/>
      <c r="O91" s="116"/>
      <c r="P91" s="117"/>
      <c r="Q91" s="117"/>
      <c r="R91" s="117"/>
      <c r="S91" s="117"/>
      <c r="T91" s="117"/>
      <c r="U91" s="2"/>
      <c r="V91" s="2"/>
      <c r="W91" s="2"/>
      <c r="X91" s="2"/>
      <c r="Y91" s="2"/>
      <c r="Z91" s="2"/>
      <c r="AA91" s="2"/>
    </row>
    <row r="92" spans="1:27" s="5" customFormat="1" x14ac:dyDescent="0.2">
      <c r="A92" s="19"/>
      <c r="C92" s="39" t="s">
        <v>116</v>
      </c>
      <c r="D92" s="19"/>
      <c r="E92" s="19" t="s">
        <v>117</v>
      </c>
      <c r="F92" s="19"/>
      <c r="H92" s="37"/>
      <c r="I92" s="37"/>
      <c r="J92" s="37"/>
      <c r="M92" s="2"/>
      <c r="N92" s="116"/>
      <c r="O92" s="116"/>
      <c r="P92" s="117"/>
      <c r="Q92" s="117"/>
      <c r="R92" s="117"/>
      <c r="S92" s="117"/>
      <c r="T92" s="117"/>
      <c r="U92" s="2"/>
      <c r="V92" s="2"/>
      <c r="W92" s="2"/>
      <c r="X92" s="2"/>
      <c r="Y92" s="2"/>
      <c r="Z92" s="2"/>
      <c r="AA92" s="2"/>
    </row>
    <row r="93" spans="1:27" s="5" customFormat="1" x14ac:dyDescent="0.2">
      <c r="A93" s="19"/>
      <c r="C93" s="39" t="s">
        <v>118</v>
      </c>
      <c r="D93" s="19"/>
      <c r="E93" s="19" t="s">
        <v>119</v>
      </c>
      <c r="F93" s="19"/>
      <c r="H93" s="37"/>
      <c r="I93" s="37"/>
      <c r="J93" s="37"/>
      <c r="M93" s="2"/>
      <c r="N93" s="116"/>
      <c r="O93" s="116"/>
      <c r="P93" s="117"/>
      <c r="Q93" s="117"/>
      <c r="R93" s="117"/>
      <c r="S93" s="117"/>
      <c r="T93" s="117"/>
      <c r="U93" s="2"/>
      <c r="V93" s="2"/>
      <c r="W93" s="2"/>
      <c r="X93" s="2"/>
      <c r="Y93" s="2"/>
      <c r="Z93" s="2"/>
      <c r="AA93" s="2"/>
    </row>
    <row r="94" spans="1:27" s="5" customFormat="1" x14ac:dyDescent="0.2">
      <c r="A94" s="19"/>
      <c r="C94" s="39" t="s">
        <v>120</v>
      </c>
      <c r="D94" s="19"/>
      <c r="E94" s="19" t="s">
        <v>121</v>
      </c>
      <c r="F94" s="19"/>
      <c r="H94" s="37"/>
      <c r="I94" s="37"/>
      <c r="J94" s="37"/>
      <c r="M94" s="2"/>
      <c r="N94" s="116"/>
      <c r="O94" s="116"/>
      <c r="P94" s="117"/>
      <c r="Q94" s="117"/>
      <c r="R94" s="117"/>
      <c r="S94" s="117"/>
      <c r="T94" s="117"/>
      <c r="U94" s="2"/>
      <c r="V94" s="2"/>
      <c r="W94" s="2"/>
      <c r="X94" s="2"/>
      <c r="Y94" s="2"/>
      <c r="Z94" s="2"/>
      <c r="AA94" s="2"/>
    </row>
    <row r="95" spans="1:27" s="5" customFormat="1" x14ac:dyDescent="0.2">
      <c r="A95" s="19"/>
      <c r="C95" s="39" t="s">
        <v>122</v>
      </c>
      <c r="D95" s="19"/>
      <c r="E95" s="19" t="s">
        <v>123</v>
      </c>
      <c r="F95" s="19"/>
      <c r="H95" s="37"/>
      <c r="I95" s="37"/>
      <c r="J95" s="37"/>
      <c r="M95" s="2"/>
      <c r="N95" s="116"/>
      <c r="O95" s="116"/>
      <c r="P95" s="117"/>
      <c r="Q95" s="117"/>
      <c r="R95" s="117"/>
      <c r="S95" s="117"/>
      <c r="T95" s="117"/>
      <c r="U95" s="2"/>
      <c r="V95" s="2"/>
      <c r="W95" s="2"/>
      <c r="X95" s="2"/>
      <c r="Y95" s="2"/>
      <c r="Z95" s="2"/>
      <c r="AA95" s="2"/>
    </row>
    <row r="96" spans="1:27" s="5" customFormat="1" x14ac:dyDescent="0.2">
      <c r="A96" s="39"/>
      <c r="C96" s="39" t="s">
        <v>124</v>
      </c>
      <c r="D96" s="19"/>
      <c r="E96" s="19" t="s">
        <v>125</v>
      </c>
      <c r="F96" s="19"/>
      <c r="H96" s="37"/>
      <c r="I96" s="37"/>
      <c r="J96" s="37"/>
      <c r="M96" s="2"/>
      <c r="N96" s="116"/>
      <c r="O96" s="116"/>
      <c r="P96" s="117"/>
      <c r="Q96" s="117"/>
      <c r="R96" s="117"/>
      <c r="S96" s="117"/>
      <c r="T96" s="117"/>
      <c r="U96" s="2"/>
      <c r="V96" s="2"/>
      <c r="W96" s="2"/>
      <c r="X96" s="2"/>
      <c r="Y96" s="2"/>
      <c r="Z96" s="2"/>
      <c r="AA96" s="2"/>
    </row>
    <row r="97" spans="1:27" s="5" customFormat="1" x14ac:dyDescent="0.2">
      <c r="A97" s="39"/>
      <c r="C97" s="39" t="s">
        <v>126</v>
      </c>
      <c r="D97" s="19"/>
      <c r="E97" s="19" t="s">
        <v>127</v>
      </c>
      <c r="F97" s="19"/>
      <c r="H97" s="37"/>
      <c r="I97" s="37"/>
      <c r="J97" s="37"/>
      <c r="M97" s="2"/>
      <c r="N97" s="116"/>
      <c r="O97" s="116"/>
      <c r="P97" s="117"/>
      <c r="Q97" s="117"/>
      <c r="R97" s="117"/>
      <c r="S97" s="117"/>
      <c r="T97" s="117"/>
      <c r="U97" s="2"/>
      <c r="V97" s="2"/>
      <c r="W97" s="2"/>
      <c r="X97" s="2"/>
      <c r="Y97" s="2"/>
      <c r="Z97" s="2"/>
      <c r="AA97" s="2"/>
    </row>
    <row r="98" spans="1:27" s="5" customFormat="1" x14ac:dyDescent="0.2">
      <c r="A98" s="39"/>
      <c r="C98" s="19" t="s">
        <v>128</v>
      </c>
      <c r="D98" s="19"/>
      <c r="E98" s="19" t="s">
        <v>129</v>
      </c>
      <c r="F98" s="19"/>
      <c r="H98" s="37"/>
      <c r="I98" s="37"/>
      <c r="J98" s="37"/>
      <c r="M98" s="2"/>
      <c r="N98" s="116"/>
      <c r="O98" s="116"/>
      <c r="P98" s="117"/>
      <c r="Q98" s="117"/>
      <c r="R98" s="117"/>
      <c r="S98" s="117"/>
      <c r="T98" s="117"/>
      <c r="U98" s="2"/>
      <c r="V98" s="2"/>
      <c r="W98" s="2"/>
      <c r="X98" s="2"/>
      <c r="Y98" s="2"/>
      <c r="Z98" s="2"/>
      <c r="AA98" s="2"/>
    </row>
    <row r="99" spans="1:27" s="5" customFormat="1" x14ac:dyDescent="0.2">
      <c r="A99" s="39"/>
      <c r="C99" s="19" t="s">
        <v>130</v>
      </c>
      <c r="D99" s="19"/>
      <c r="E99" s="19" t="s">
        <v>131</v>
      </c>
      <c r="F99" s="19"/>
      <c r="H99" s="37"/>
      <c r="I99" s="37"/>
      <c r="J99" s="37"/>
      <c r="M99" s="2"/>
      <c r="N99" s="116"/>
      <c r="O99" s="116"/>
      <c r="P99" s="117"/>
      <c r="Q99" s="117"/>
      <c r="R99" s="117"/>
      <c r="S99" s="117"/>
      <c r="T99" s="117"/>
      <c r="U99" s="2"/>
      <c r="V99" s="2"/>
      <c r="W99" s="2"/>
      <c r="X99" s="2"/>
      <c r="Y99" s="2"/>
      <c r="Z99" s="2"/>
      <c r="AA99" s="2"/>
    </row>
    <row r="100" spans="1:27" s="5" customFormat="1" x14ac:dyDescent="0.2">
      <c r="A100" s="39"/>
      <c r="C100" s="19"/>
      <c r="D100" s="19"/>
      <c r="E100" s="19"/>
      <c r="F100" s="19"/>
      <c r="H100" s="37"/>
      <c r="I100" s="37"/>
      <c r="J100" s="37"/>
      <c r="M100" s="2"/>
      <c r="N100" s="116"/>
      <c r="O100" s="116"/>
      <c r="P100" s="117"/>
      <c r="Q100" s="117"/>
      <c r="R100" s="117"/>
      <c r="S100" s="117"/>
      <c r="T100" s="117"/>
      <c r="U100" s="2"/>
      <c r="V100" s="2"/>
      <c r="W100" s="2"/>
      <c r="X100" s="2"/>
      <c r="Y100" s="2"/>
      <c r="Z100" s="2"/>
      <c r="AA100" s="2"/>
    </row>
    <row r="101" spans="1:27" s="5" customFormat="1" x14ac:dyDescent="0.2">
      <c r="A101" s="39"/>
      <c r="C101" s="19" t="s">
        <v>132</v>
      </c>
      <c r="D101" s="19"/>
      <c r="E101" s="19" t="s">
        <v>133</v>
      </c>
      <c r="F101" s="19"/>
      <c r="H101" s="37"/>
      <c r="I101" s="37"/>
      <c r="J101" s="37"/>
      <c r="M101" s="2"/>
      <c r="N101" s="116"/>
      <c r="O101" s="116"/>
      <c r="P101" s="117"/>
      <c r="Q101" s="117"/>
      <c r="R101" s="117"/>
      <c r="S101" s="117"/>
      <c r="T101" s="117"/>
      <c r="U101" s="2"/>
      <c r="V101" s="2"/>
      <c r="W101" s="2"/>
      <c r="X101" s="2"/>
      <c r="Y101" s="2"/>
      <c r="Z101" s="2"/>
      <c r="AA101" s="2"/>
    </row>
    <row r="102" spans="1:27" s="5" customFormat="1" x14ac:dyDescent="0.2">
      <c r="A102" s="39"/>
      <c r="C102" s="19" t="s">
        <v>134</v>
      </c>
      <c r="D102" s="19"/>
      <c r="E102" s="19" t="s">
        <v>135</v>
      </c>
      <c r="F102" s="19"/>
      <c r="H102" s="37"/>
      <c r="I102" s="37"/>
      <c r="J102" s="37"/>
      <c r="M102" s="2"/>
      <c r="N102" s="116"/>
      <c r="O102" s="116"/>
      <c r="P102" s="117"/>
      <c r="Q102" s="117"/>
      <c r="R102" s="117"/>
      <c r="S102" s="117"/>
      <c r="T102" s="117"/>
      <c r="U102" s="2"/>
      <c r="V102" s="2"/>
      <c r="W102" s="2"/>
      <c r="X102" s="2"/>
      <c r="Y102" s="2"/>
      <c r="Z102" s="2"/>
      <c r="AA102" s="2"/>
    </row>
    <row r="103" spans="1:27" s="5" customFormat="1" x14ac:dyDescent="0.2">
      <c r="A103" s="39"/>
      <c r="C103" s="19" t="s">
        <v>136</v>
      </c>
      <c r="D103" s="19"/>
      <c r="E103" s="19" t="s">
        <v>137</v>
      </c>
      <c r="F103" s="19"/>
      <c r="H103" s="37"/>
      <c r="I103" s="37"/>
      <c r="J103" s="37"/>
      <c r="M103" s="2"/>
      <c r="N103" s="116"/>
      <c r="O103" s="116"/>
      <c r="P103" s="117"/>
      <c r="Q103" s="117"/>
      <c r="R103" s="117"/>
      <c r="S103" s="117"/>
      <c r="T103" s="117"/>
      <c r="U103" s="2"/>
      <c r="V103" s="2"/>
      <c r="W103" s="2"/>
      <c r="X103" s="2"/>
      <c r="Y103" s="2"/>
      <c r="Z103" s="2"/>
      <c r="AA103" s="2"/>
    </row>
    <row r="104" spans="1:27" s="5" customFormat="1" x14ac:dyDescent="0.2">
      <c r="A104" s="39"/>
      <c r="B104" s="20"/>
      <c r="C104" s="19"/>
      <c r="D104" s="19"/>
      <c r="E104" s="19" t="s">
        <v>138</v>
      </c>
      <c r="F104" s="19"/>
      <c r="H104" s="37"/>
      <c r="I104" s="37"/>
      <c r="J104" s="37"/>
      <c r="M104" s="2"/>
      <c r="N104" s="116"/>
      <c r="O104" s="116"/>
      <c r="P104" s="117"/>
      <c r="Q104" s="117"/>
      <c r="R104" s="117"/>
      <c r="S104" s="117"/>
      <c r="T104" s="117"/>
      <c r="U104" s="2"/>
      <c r="V104" s="2"/>
      <c r="W104" s="2"/>
      <c r="X104" s="2"/>
      <c r="Y104" s="2"/>
      <c r="Z104" s="2"/>
      <c r="AA104" s="2"/>
    </row>
    <row r="105" spans="1:27" s="5" customFormat="1" x14ac:dyDescent="0.2">
      <c r="A105" s="39"/>
      <c r="B105" s="111" t="s">
        <v>285</v>
      </c>
      <c r="C105" s="19" t="s">
        <v>286</v>
      </c>
      <c r="E105" s="85"/>
      <c r="F105" s="41"/>
      <c r="G105" s="41"/>
      <c r="H105" s="63"/>
      <c r="I105" s="63"/>
      <c r="J105" s="63"/>
      <c r="M105" s="2"/>
      <c r="N105" s="116"/>
      <c r="O105" s="116"/>
      <c r="P105" s="117"/>
      <c r="Q105" s="117"/>
      <c r="R105" s="117"/>
      <c r="S105" s="117"/>
      <c r="T105" s="117"/>
      <c r="U105" s="2"/>
      <c r="V105" s="2"/>
      <c r="W105" s="2"/>
      <c r="X105" s="2"/>
      <c r="Y105" s="2"/>
      <c r="Z105" s="2"/>
      <c r="AA105" s="2"/>
    </row>
    <row r="106" spans="1:27" s="5" customFormat="1" x14ac:dyDescent="0.2">
      <c r="A106" s="39"/>
      <c r="B106" s="111" t="s">
        <v>285</v>
      </c>
      <c r="C106" s="19" t="s">
        <v>287</v>
      </c>
      <c r="E106" s="85"/>
      <c r="F106" s="41"/>
      <c r="G106" s="41"/>
      <c r="H106" s="63"/>
      <c r="I106" s="63"/>
      <c r="J106" s="63"/>
      <c r="M106" s="2"/>
      <c r="N106" s="116"/>
      <c r="O106" s="116"/>
      <c r="P106" s="117"/>
      <c r="Q106" s="117"/>
      <c r="R106" s="117"/>
      <c r="S106" s="117"/>
      <c r="T106" s="117"/>
      <c r="U106" s="2"/>
      <c r="V106" s="2"/>
      <c r="W106" s="2"/>
      <c r="X106" s="2"/>
      <c r="Y106" s="2"/>
      <c r="Z106" s="2"/>
      <c r="AA106" s="2"/>
    </row>
    <row r="107" spans="1:27" s="5" customFormat="1" x14ac:dyDescent="0.2">
      <c r="A107" s="39"/>
      <c r="B107" s="111"/>
      <c r="C107" s="19" t="s">
        <v>141</v>
      </c>
      <c r="E107" s="85"/>
      <c r="F107" s="41"/>
      <c r="G107" s="41"/>
      <c r="H107" s="63"/>
      <c r="I107" s="63"/>
      <c r="J107" s="63"/>
      <c r="M107" s="2"/>
      <c r="N107" s="116"/>
      <c r="O107" s="116"/>
      <c r="P107" s="117"/>
      <c r="Q107" s="117"/>
      <c r="R107" s="117"/>
      <c r="S107" s="117"/>
      <c r="T107" s="117"/>
      <c r="U107" s="2"/>
      <c r="V107" s="2"/>
      <c r="W107" s="2"/>
      <c r="X107" s="2"/>
      <c r="Y107" s="2"/>
      <c r="Z107" s="2"/>
      <c r="AA107" s="2"/>
    </row>
    <row r="108" spans="1:27" s="5" customFormat="1" x14ac:dyDescent="0.2">
      <c r="A108" s="39"/>
      <c r="B108" s="111" t="s">
        <v>285</v>
      </c>
      <c r="C108" s="19" t="s">
        <v>288</v>
      </c>
      <c r="E108" s="85"/>
      <c r="F108" s="41"/>
      <c r="G108" s="41"/>
      <c r="H108" s="63"/>
      <c r="I108" s="63"/>
      <c r="J108" s="63"/>
      <c r="M108" s="2"/>
      <c r="N108" s="116"/>
      <c r="O108" s="116"/>
      <c r="P108" s="117"/>
      <c r="Q108" s="117"/>
      <c r="R108" s="117"/>
      <c r="S108" s="117"/>
      <c r="T108" s="117"/>
      <c r="U108" s="2"/>
      <c r="V108" s="2"/>
      <c r="W108" s="2"/>
      <c r="X108" s="2"/>
      <c r="Y108" s="2"/>
      <c r="Z108" s="2"/>
      <c r="AA108" s="2"/>
    </row>
    <row r="109" spans="1:27" s="5" customFormat="1" x14ac:dyDescent="0.2">
      <c r="A109" s="39"/>
      <c r="B109" s="111" t="s">
        <v>285</v>
      </c>
      <c r="C109" s="19" t="s">
        <v>289</v>
      </c>
      <c r="E109" s="85"/>
      <c r="F109" s="41"/>
      <c r="G109" s="41"/>
      <c r="H109" s="63"/>
      <c r="I109" s="63"/>
      <c r="J109" s="63"/>
      <c r="M109" s="2"/>
      <c r="N109" s="116"/>
      <c r="O109" s="116"/>
      <c r="P109" s="117"/>
      <c r="Q109" s="117"/>
      <c r="R109" s="117"/>
      <c r="S109" s="117"/>
      <c r="T109" s="117"/>
      <c r="U109" s="2"/>
      <c r="V109" s="2"/>
      <c r="W109" s="2"/>
      <c r="X109" s="2"/>
      <c r="Y109" s="2"/>
      <c r="Z109" s="2"/>
      <c r="AA109" s="2"/>
    </row>
    <row r="110" spans="1:27" s="5" customFormat="1" x14ac:dyDescent="0.2">
      <c r="A110" s="39"/>
      <c r="B110" s="111" t="s">
        <v>285</v>
      </c>
      <c r="C110" s="19" t="s">
        <v>290</v>
      </c>
      <c r="E110" s="85"/>
      <c r="F110" s="41"/>
      <c r="G110" s="41"/>
      <c r="H110" s="63"/>
      <c r="I110" s="63"/>
      <c r="J110" s="63"/>
      <c r="M110" s="2"/>
      <c r="N110" s="116"/>
      <c r="O110" s="116"/>
      <c r="P110" s="117"/>
      <c r="Q110" s="117"/>
      <c r="R110" s="117"/>
      <c r="S110" s="117"/>
      <c r="T110" s="117"/>
      <c r="U110" s="2"/>
      <c r="V110" s="2"/>
      <c r="W110" s="2"/>
      <c r="X110" s="2"/>
      <c r="Y110" s="2"/>
      <c r="Z110" s="2"/>
      <c r="AA110" s="2"/>
    </row>
    <row r="111" spans="1:27" s="5" customFormat="1" ht="13.5" customHeight="1" x14ac:dyDescent="0.2">
      <c r="A111" s="2"/>
      <c r="B111" s="111" t="s">
        <v>285</v>
      </c>
      <c r="C111" s="19" t="s">
        <v>291</v>
      </c>
      <c r="E111" s="85"/>
      <c r="F111" s="41"/>
      <c r="G111" s="41"/>
      <c r="H111" s="63"/>
      <c r="I111" s="63"/>
      <c r="J111" s="63"/>
      <c r="M111" s="2"/>
      <c r="N111" s="116"/>
      <c r="O111" s="116"/>
      <c r="P111" s="117"/>
      <c r="Q111" s="117"/>
      <c r="R111" s="117"/>
      <c r="S111" s="117"/>
      <c r="T111" s="117"/>
      <c r="U111" s="2"/>
      <c r="V111" s="2"/>
      <c r="W111" s="2"/>
      <c r="X111" s="2"/>
      <c r="Y111" s="2"/>
      <c r="Z111" s="2"/>
      <c r="AA111" s="2"/>
    </row>
    <row r="112" spans="1:27" s="5" customFormat="1" x14ac:dyDescent="0.2">
      <c r="A112" s="2"/>
      <c r="B112" s="111" t="s">
        <v>285</v>
      </c>
      <c r="C112" s="19" t="s">
        <v>292</v>
      </c>
      <c r="E112" s="80"/>
      <c r="F112" s="19"/>
      <c r="G112" s="19"/>
      <c r="H112" s="37"/>
      <c r="I112" s="37"/>
      <c r="J112" s="37"/>
      <c r="M112" s="2"/>
      <c r="N112" s="116"/>
      <c r="O112" s="116"/>
      <c r="P112" s="117"/>
      <c r="Q112" s="117"/>
      <c r="R112" s="117"/>
      <c r="S112" s="117"/>
      <c r="T112" s="117"/>
      <c r="U112" s="2"/>
      <c r="V112" s="2"/>
      <c r="W112" s="2"/>
      <c r="X112" s="2"/>
      <c r="Y112" s="2"/>
      <c r="Z112" s="2"/>
      <c r="AA112" s="2"/>
    </row>
    <row r="113" spans="1:20" x14ac:dyDescent="0.2">
      <c r="C113" s="41"/>
      <c r="D113" s="19"/>
      <c r="E113" s="80"/>
      <c r="F113" s="19"/>
      <c r="G113" s="19"/>
      <c r="H113" s="37"/>
      <c r="I113" s="37"/>
      <c r="J113" s="37"/>
      <c r="P113" s="123"/>
    </row>
    <row r="114" spans="1:20" x14ac:dyDescent="0.2">
      <c r="A114" s="43" t="s">
        <v>147</v>
      </c>
      <c r="B114" s="33"/>
      <c r="C114" s="33"/>
      <c r="D114" s="33"/>
      <c r="E114" s="83"/>
      <c r="F114" s="33"/>
      <c r="G114" s="33"/>
      <c r="H114" s="33"/>
      <c r="I114" s="33"/>
      <c r="J114" s="33"/>
      <c r="P114" s="123"/>
    </row>
    <row r="115" spans="1:20" s="33" customFormat="1" x14ac:dyDescent="0.2">
      <c r="A115" s="19" t="str">
        <f>"Automotive Mechanics regularly assigned and working on an 'outside truck' shall be paid a premium of  "&amp;TEXT(P115,"$0.000")&amp;" per hour on all compensated"</f>
        <v>Automotive Mechanics regularly assigned and working on an 'outside truck' shall be paid a premium of  $1.008 per hour on all compensated</v>
      </c>
      <c r="B115" s="20"/>
      <c r="C115" s="19"/>
      <c r="D115" s="19"/>
      <c r="E115" s="80"/>
      <c r="F115" s="19"/>
      <c r="G115" s="19"/>
      <c r="H115" s="2"/>
      <c r="I115"/>
      <c r="J115"/>
      <c r="K115" s="45"/>
      <c r="L115" s="34"/>
      <c r="N115" s="125" t="s">
        <v>353</v>
      </c>
      <c r="O115" s="125" t="s">
        <v>354</v>
      </c>
      <c r="P115" s="123">
        <v>1.008</v>
      </c>
      <c r="Q115" s="117"/>
      <c r="R115" s="117"/>
      <c r="S115" s="117"/>
      <c r="T115" s="117"/>
    </row>
    <row r="116" spans="1:20" x14ac:dyDescent="0.2">
      <c r="A116" s="19" t="str">
        <f>"hours. Automotive Mechanics temporarily assigned on an 'outside truck' shall be paid a premium of "&amp;TEXT(P115,"$0.000")&amp;" per hour for hours worked."</f>
        <v>hours. Automotive Mechanics temporarily assigned on an 'outside truck' shall be paid a premium of $1.008 per hour for hours worked.</v>
      </c>
      <c r="B116" s="20"/>
      <c r="C116" s="19"/>
      <c r="D116" s="19"/>
      <c r="E116" s="80"/>
      <c r="F116" s="19"/>
      <c r="G116" s="19"/>
      <c r="I116"/>
      <c r="J116"/>
      <c r="P116" s="123"/>
    </row>
    <row r="117" spans="1:20" s="33" customFormat="1" ht="6.75" customHeight="1" x14ac:dyDescent="0.2">
      <c r="A117" s="39"/>
      <c r="E117" s="83"/>
      <c r="K117" s="45"/>
      <c r="L117" s="34"/>
      <c r="N117" s="125"/>
      <c r="O117" s="125"/>
      <c r="P117" s="123"/>
      <c r="Q117" s="117"/>
      <c r="R117" s="117"/>
      <c r="S117" s="117"/>
      <c r="T117" s="117"/>
    </row>
    <row r="118" spans="1:20" s="33" customFormat="1" x14ac:dyDescent="0.2">
      <c r="A118" s="43" t="s">
        <v>153</v>
      </c>
      <c r="B118" s="20"/>
      <c r="C118" s="19"/>
      <c r="D118" s="19"/>
      <c r="E118" s="80"/>
      <c r="F118" s="19"/>
      <c r="G118" s="19"/>
      <c r="H118" s="37"/>
      <c r="I118" s="37"/>
      <c r="J118" s="37"/>
      <c r="K118" s="45"/>
      <c r="L118" s="34"/>
      <c r="N118" s="125"/>
      <c r="O118" s="125"/>
      <c r="P118" s="123"/>
      <c r="Q118" s="117"/>
      <c r="R118" s="117"/>
      <c r="S118" s="117"/>
      <c r="T118" s="117"/>
    </row>
    <row r="119" spans="1:20" x14ac:dyDescent="0.2">
      <c r="A119" s="33" t="s">
        <v>154</v>
      </c>
      <c r="B119" s="20"/>
      <c r="C119" s="19"/>
      <c r="D119" s="19"/>
      <c r="E119" s="80"/>
      <c r="F119" s="19"/>
      <c r="G119" s="19"/>
      <c r="H119" s="37"/>
      <c r="I119" s="37"/>
      <c r="J119" s="37"/>
      <c r="P119" s="123"/>
    </row>
    <row r="120" spans="1:20" x14ac:dyDescent="0.2">
      <c r="A120" s="109" t="str">
        <f>TEXT(P120,"$0.000")&amp;" per hour for all hours worked where a 'spotter' or a harness  is required to perform the job in a safe manner."</f>
        <v>$0.485 per hour for all hours worked where a 'spotter' or a harness  is required to perform the job in a safe manner.</v>
      </c>
      <c r="B120" s="66"/>
      <c r="C120" s="33"/>
      <c r="D120" s="33"/>
      <c r="E120" s="83"/>
      <c r="F120" s="33"/>
      <c r="G120" s="33"/>
      <c r="H120" s="33"/>
      <c r="I120" s="33"/>
      <c r="J120" s="37"/>
      <c r="N120" s="116" t="s">
        <v>355</v>
      </c>
      <c r="O120" s="116" t="s">
        <v>356</v>
      </c>
      <c r="P120" s="123">
        <v>0.48499999999999999</v>
      </c>
    </row>
    <row r="121" spans="1:20" x14ac:dyDescent="0.2">
      <c r="A121" s="39" t="s">
        <v>156</v>
      </c>
      <c r="B121" s="33"/>
      <c r="C121" s="33"/>
      <c r="D121" s="33"/>
      <c r="E121" s="83"/>
      <c r="F121" s="33"/>
      <c r="G121" s="33"/>
      <c r="H121" s="33"/>
      <c r="I121" s="33"/>
      <c r="J121" s="33"/>
      <c r="P121" s="123"/>
    </row>
    <row r="122" spans="1:20" s="33" customFormat="1" x14ac:dyDescent="0.2">
      <c r="A122" s="39" t="s">
        <v>157</v>
      </c>
      <c r="E122" s="83"/>
      <c r="K122" s="34"/>
      <c r="L122" s="34"/>
      <c r="N122" s="125"/>
      <c r="O122" s="125"/>
      <c r="P122" s="123"/>
      <c r="Q122" s="117"/>
      <c r="R122" s="117"/>
      <c r="S122" s="117"/>
      <c r="T122" s="117"/>
    </row>
    <row r="123" spans="1:20" s="33" customFormat="1" x14ac:dyDescent="0.2">
      <c r="A123" s="39"/>
      <c r="B123" s="66"/>
      <c r="C123" s="66"/>
      <c r="E123" s="83"/>
      <c r="K123" s="45"/>
      <c r="L123" s="34"/>
      <c r="N123" s="125"/>
      <c r="O123" s="125"/>
      <c r="P123" s="123"/>
      <c r="Q123" s="117"/>
      <c r="R123" s="117"/>
      <c r="S123" s="117"/>
      <c r="T123" s="117"/>
    </row>
    <row r="124" spans="1:20" s="33" customFormat="1" x14ac:dyDescent="0.2">
      <c r="A124" s="56" t="s">
        <v>158</v>
      </c>
      <c r="E124" s="83"/>
      <c r="K124" s="34"/>
      <c r="L124" s="34"/>
      <c r="N124" s="125"/>
      <c r="O124" s="125"/>
      <c r="P124" s="123"/>
      <c r="Q124" s="117"/>
      <c r="R124" s="117"/>
      <c r="S124" s="117"/>
      <c r="T124" s="117"/>
    </row>
    <row r="125" spans="1:20" s="33" customFormat="1" x14ac:dyDescent="0.2">
      <c r="A125" s="33" t="s">
        <v>159</v>
      </c>
      <c r="B125" s="20"/>
      <c r="C125" s="68"/>
      <c r="D125" s="19"/>
      <c r="E125" s="80"/>
      <c r="F125" s="19"/>
      <c r="G125" s="19"/>
      <c r="I125" s="37"/>
      <c r="J125" s="37"/>
      <c r="K125" s="34"/>
      <c r="L125" s="34"/>
      <c r="N125" s="125"/>
      <c r="O125" s="125"/>
      <c r="P125" s="123"/>
      <c r="Q125" s="117"/>
      <c r="R125" s="117"/>
      <c r="S125" s="117"/>
      <c r="T125" s="117"/>
    </row>
    <row r="126" spans="1:20" x14ac:dyDescent="0.2">
      <c r="A126" s="111" t="s">
        <v>306</v>
      </c>
      <c r="B126" s="2" t="s">
        <v>309</v>
      </c>
      <c r="D126" s="19"/>
      <c r="E126" s="80"/>
      <c r="F126" s="19"/>
      <c r="G126" s="19"/>
      <c r="H126" s="37"/>
      <c r="I126" s="37"/>
      <c r="J126" s="37"/>
      <c r="P126" s="123"/>
    </row>
    <row r="127" spans="1:20" x14ac:dyDescent="0.2">
      <c r="A127" s="111" t="s">
        <v>307</v>
      </c>
      <c r="B127" s="2" t="s">
        <v>310</v>
      </c>
      <c r="D127" s="41"/>
      <c r="E127" s="85"/>
      <c r="F127" s="41"/>
      <c r="G127" s="41"/>
      <c r="H127" s="63"/>
      <c r="I127" s="63"/>
      <c r="J127" s="63"/>
      <c r="P127" s="123"/>
    </row>
    <row r="128" spans="1:20" x14ac:dyDescent="0.2">
      <c r="A128" s="111" t="s">
        <v>308</v>
      </c>
      <c r="B128" s="2" t="s">
        <v>311</v>
      </c>
      <c r="D128" s="41"/>
      <c r="E128" s="85"/>
      <c r="F128" s="41"/>
      <c r="G128" s="41"/>
      <c r="H128" s="63"/>
      <c r="I128" s="63"/>
      <c r="J128" s="63"/>
      <c r="P128" s="123"/>
    </row>
    <row r="129" spans="1:20" x14ac:dyDescent="0.2">
      <c r="A129" s="111" t="s">
        <v>315</v>
      </c>
      <c r="B129" s="2" t="s">
        <v>312</v>
      </c>
      <c r="D129" s="41"/>
      <c r="E129" s="85"/>
      <c r="F129" s="41"/>
      <c r="G129" s="41"/>
      <c r="H129" s="63"/>
      <c r="I129" s="63"/>
      <c r="J129" s="63"/>
      <c r="P129" s="123"/>
    </row>
    <row r="130" spans="1:20" x14ac:dyDescent="0.2">
      <c r="A130" s="111" t="s">
        <v>316</v>
      </c>
      <c r="B130" s="2" t="s">
        <v>313</v>
      </c>
      <c r="D130" s="41"/>
      <c r="E130" s="85"/>
      <c r="F130" s="41"/>
      <c r="G130" s="41"/>
      <c r="H130" s="63"/>
      <c r="I130" s="63"/>
      <c r="J130" s="63"/>
      <c r="P130" s="123"/>
    </row>
    <row r="131" spans="1:20" x14ac:dyDescent="0.2">
      <c r="A131" s="112" t="s">
        <v>317</v>
      </c>
      <c r="B131" s="2" t="s">
        <v>314</v>
      </c>
      <c r="D131" s="41"/>
      <c r="E131" s="85"/>
      <c r="F131" s="41"/>
      <c r="G131" s="41"/>
      <c r="H131" s="63"/>
      <c r="I131" s="63"/>
      <c r="J131" s="63"/>
      <c r="P131" s="123"/>
    </row>
    <row r="132" spans="1:20" x14ac:dyDescent="0.2">
      <c r="A132" s="19"/>
      <c r="B132" s="69"/>
      <c r="C132" s="41"/>
      <c r="D132" s="41"/>
      <c r="E132" s="85"/>
      <c r="F132" s="41"/>
      <c r="G132" s="41"/>
      <c r="H132" s="63"/>
      <c r="I132" s="63"/>
      <c r="J132" s="63"/>
      <c r="P132" s="123"/>
    </row>
    <row r="133" spans="1:20" x14ac:dyDescent="0.2">
      <c r="A133" s="70" t="s">
        <v>166</v>
      </c>
      <c r="B133" s="69"/>
      <c r="C133" s="41"/>
      <c r="D133" s="41"/>
      <c r="E133" s="85"/>
      <c r="F133" s="41"/>
      <c r="G133" s="41"/>
      <c r="H133" s="63"/>
      <c r="I133" s="63"/>
      <c r="J133" s="63"/>
      <c r="P133" s="123"/>
    </row>
    <row r="134" spans="1:20" x14ac:dyDescent="0.2">
      <c r="A134" s="39" t="s">
        <v>167</v>
      </c>
      <c r="B134" s="69"/>
      <c r="C134" s="41"/>
      <c r="D134" s="41"/>
      <c r="E134" s="85"/>
      <c r="F134" s="41"/>
      <c r="G134" s="41"/>
      <c r="H134" s="37"/>
      <c r="I134" s="37"/>
      <c r="J134" s="37"/>
      <c r="P134" s="123"/>
    </row>
    <row r="135" spans="1:20" x14ac:dyDescent="0.2">
      <c r="A135" s="71"/>
      <c r="B135" s="20"/>
      <c r="C135" s="19"/>
      <c r="D135" s="19"/>
      <c r="E135" s="80"/>
      <c r="F135" s="19"/>
      <c r="G135" s="19"/>
      <c r="H135" s="37"/>
      <c r="I135" s="37"/>
      <c r="J135" s="37"/>
      <c r="P135" s="123"/>
    </row>
    <row r="136" spans="1:20" x14ac:dyDescent="0.2">
      <c r="A136" s="70" t="s">
        <v>168</v>
      </c>
      <c r="B136" s="20"/>
      <c r="C136" s="19"/>
      <c r="D136" s="19"/>
      <c r="E136" s="80"/>
      <c r="F136" s="19"/>
      <c r="G136" s="19"/>
      <c r="H136" s="37"/>
      <c r="I136" s="37"/>
      <c r="J136" s="37"/>
      <c r="P136" s="123"/>
    </row>
    <row r="137" spans="1:20" x14ac:dyDescent="0.2">
      <c r="A137" s="102" t="s">
        <v>218</v>
      </c>
      <c r="B137" s="20"/>
      <c r="C137" s="19"/>
      <c r="D137" s="19"/>
      <c r="E137" s="80"/>
      <c r="F137" s="19"/>
      <c r="G137" s="19"/>
      <c r="H137" s="37"/>
      <c r="I137" s="37"/>
      <c r="J137" s="37"/>
      <c r="N137" s="116" t="s">
        <v>357</v>
      </c>
      <c r="O137" s="116" t="s">
        <v>358</v>
      </c>
      <c r="P137" s="123">
        <f>P138</f>
        <v>1.454</v>
      </c>
    </row>
    <row r="138" spans="1:20" x14ac:dyDescent="0.2">
      <c r="A138" s="102" t="str">
        <f>"schedule that includes a Saturday or Sunday shall be paid a night/weekend shift differential of "&amp;TEXT(P138,"$0.000")&amp;" per hour for all hours worked on the qualified shift,"</f>
        <v>schedule that includes a Saturday or Sunday shall be paid a night/weekend shift differential of $1.454 per hour for all hours worked on the qualified shift,</v>
      </c>
      <c r="B138" s="20"/>
      <c r="C138" s="19"/>
      <c r="D138" s="19"/>
      <c r="E138" s="80"/>
      <c r="F138" s="19"/>
      <c r="G138" s="19"/>
      <c r="H138" s="37"/>
      <c r="I138" s="37"/>
      <c r="J138" s="37"/>
      <c r="N138" s="116" t="s">
        <v>359</v>
      </c>
      <c r="O138" s="116" t="s">
        <v>360</v>
      </c>
      <c r="P138" s="123">
        <v>1.454</v>
      </c>
    </row>
    <row r="139" spans="1:20" x14ac:dyDescent="0.2">
      <c r="A139" s="19" t="s">
        <v>220</v>
      </c>
      <c r="B139" s="20"/>
      <c r="C139" s="19"/>
      <c r="D139" s="19"/>
      <c r="E139" s="80"/>
      <c r="F139" s="19"/>
      <c r="G139" s="19"/>
      <c r="H139" s="37"/>
      <c r="I139" s="37"/>
      <c r="J139" s="37"/>
      <c r="N139" s="116" t="s">
        <v>361</v>
      </c>
      <c r="O139" s="116" t="s">
        <v>362</v>
      </c>
      <c r="P139" s="123">
        <f>P138</f>
        <v>1.454</v>
      </c>
    </row>
    <row r="140" spans="1:20" x14ac:dyDescent="0.2">
      <c r="A140" s="19" t="s">
        <v>221</v>
      </c>
      <c r="B140" s="20"/>
      <c r="C140" s="19"/>
      <c r="D140" s="19"/>
      <c r="E140" s="80"/>
      <c r="F140" s="19"/>
      <c r="G140" s="19"/>
      <c r="H140" s="37"/>
      <c r="I140" s="37"/>
      <c r="J140" s="37"/>
      <c r="P140" s="123"/>
    </row>
    <row r="141" spans="1:20" x14ac:dyDescent="0.2">
      <c r="A141" s="72"/>
      <c r="B141" s="33"/>
      <c r="C141" s="33"/>
      <c r="D141" s="33"/>
      <c r="E141" s="83"/>
      <c r="F141" s="33"/>
      <c r="G141" s="33"/>
      <c r="H141" s="33"/>
      <c r="I141" s="33"/>
      <c r="J141" s="33"/>
      <c r="P141" s="123"/>
    </row>
    <row r="142" spans="1:20" x14ac:dyDescent="0.2">
      <c r="A142" s="70" t="s">
        <v>171</v>
      </c>
      <c r="B142" s="33"/>
      <c r="C142" s="33"/>
      <c r="D142" s="33"/>
      <c r="E142" s="83"/>
      <c r="F142" s="33"/>
      <c r="G142" s="33"/>
      <c r="H142" s="33"/>
      <c r="I142" s="33"/>
      <c r="J142" s="33"/>
      <c r="P142" s="123"/>
    </row>
    <row r="143" spans="1:20" s="33" customFormat="1" x14ac:dyDescent="0.2">
      <c r="A143" s="57" t="s">
        <v>217</v>
      </c>
      <c r="E143" s="83"/>
      <c r="K143" s="34"/>
      <c r="L143" s="34"/>
      <c r="N143" s="125"/>
      <c r="O143" s="125"/>
      <c r="P143" s="123"/>
      <c r="Q143" s="117"/>
      <c r="R143" s="117"/>
      <c r="S143" s="117"/>
      <c r="T143" s="117"/>
    </row>
    <row r="144" spans="1:20" s="33" customFormat="1" x14ac:dyDescent="0.2">
      <c r="A144" s="39" t="s">
        <v>173</v>
      </c>
      <c r="B144" s="72"/>
      <c r="C144" s="72"/>
      <c r="D144" s="72"/>
      <c r="E144" s="87"/>
      <c r="F144" s="73"/>
      <c r="G144" s="73"/>
      <c r="H144" s="37"/>
      <c r="I144" s="37"/>
      <c r="J144" s="55"/>
      <c r="K144" s="45"/>
      <c r="L144" s="34"/>
      <c r="N144" s="125" t="s">
        <v>171</v>
      </c>
      <c r="O144" s="125"/>
      <c r="P144" s="123"/>
      <c r="Q144" s="117"/>
      <c r="R144" s="117"/>
      <c r="S144" s="117"/>
      <c r="T144" s="117"/>
    </row>
    <row r="145" spans="1:27" x14ac:dyDescent="0.2">
      <c r="A145" s="110">
        <f>P145</f>
        <v>0.25</v>
      </c>
      <c r="B145" s="57" t="s">
        <v>174</v>
      </c>
      <c r="C145" s="72"/>
      <c r="D145" s="72"/>
      <c r="E145" s="87"/>
      <c r="F145" s="73"/>
      <c r="G145" s="73"/>
      <c r="H145" s="37"/>
      <c r="I145" s="37"/>
      <c r="J145" s="55"/>
      <c r="N145" s="116" t="s">
        <v>371</v>
      </c>
      <c r="P145" s="123">
        <v>0.25</v>
      </c>
    </row>
    <row r="146" spans="1:27" s="5" customFormat="1" x14ac:dyDescent="0.2">
      <c r="A146" s="110">
        <f>P146</f>
        <v>0.42099999999999999</v>
      </c>
      <c r="B146" s="57" t="s">
        <v>175</v>
      </c>
      <c r="C146" s="72"/>
      <c r="D146" s="72"/>
      <c r="E146" s="87"/>
      <c r="F146" s="73"/>
      <c r="G146" s="73"/>
      <c r="H146" s="37"/>
      <c r="I146" s="37"/>
      <c r="J146" s="55"/>
      <c r="K146" s="50"/>
      <c r="M146" s="2"/>
      <c r="N146" s="116" t="s">
        <v>372</v>
      </c>
      <c r="O146" s="116"/>
      <c r="P146" s="123">
        <v>0.42099999999999999</v>
      </c>
      <c r="Q146" s="117"/>
      <c r="R146" s="117"/>
      <c r="S146" s="117"/>
      <c r="T146" s="117"/>
      <c r="U146" s="2"/>
      <c r="V146" s="2"/>
      <c r="W146" s="2"/>
      <c r="X146" s="2"/>
      <c r="Y146" s="2"/>
      <c r="Z146" s="2"/>
      <c r="AA146" s="2"/>
    </row>
    <row r="147" spans="1:27" s="5" customFormat="1" x14ac:dyDescent="0.2">
      <c r="A147" s="110">
        <f>P147</f>
        <v>0.498</v>
      </c>
      <c r="B147" s="57" t="s">
        <v>176</v>
      </c>
      <c r="C147" s="72"/>
      <c r="D147" s="72"/>
      <c r="E147" s="87"/>
      <c r="F147" s="73"/>
      <c r="G147" s="73"/>
      <c r="H147" s="37"/>
      <c r="I147" s="37"/>
      <c r="J147" s="55"/>
      <c r="K147" s="50"/>
      <c r="M147" s="2"/>
      <c r="N147" s="116" t="s">
        <v>373</v>
      </c>
      <c r="O147" s="116"/>
      <c r="P147" s="123">
        <v>0.498</v>
      </c>
      <c r="Q147" s="117"/>
      <c r="R147" s="117"/>
      <c r="S147" s="117"/>
      <c r="T147" s="117"/>
      <c r="U147" s="2"/>
      <c r="V147" s="2"/>
      <c r="W147" s="2"/>
      <c r="X147" s="2"/>
      <c r="Y147" s="2"/>
      <c r="Z147" s="2"/>
      <c r="AA147" s="2"/>
    </row>
    <row r="148" spans="1:27" s="5" customFormat="1" x14ac:dyDescent="0.2">
      <c r="A148" s="110">
        <f>P148</f>
        <v>0.71599999999999997</v>
      </c>
      <c r="B148" s="57" t="s">
        <v>177</v>
      </c>
      <c r="C148" s="72"/>
      <c r="D148" s="72"/>
      <c r="E148" s="87"/>
      <c r="F148" s="73"/>
      <c r="G148" s="73"/>
      <c r="H148" s="37"/>
      <c r="I148" s="37"/>
      <c r="J148" s="55"/>
      <c r="K148" s="50"/>
      <c r="M148" s="2"/>
      <c r="N148" s="116" t="s">
        <v>374</v>
      </c>
      <c r="O148" s="116"/>
      <c r="P148" s="123">
        <v>0.71599999999999997</v>
      </c>
      <c r="Q148" s="117"/>
      <c r="R148" s="117"/>
      <c r="S148" s="117"/>
      <c r="T148" s="117"/>
      <c r="U148" s="2"/>
      <c r="V148" s="2"/>
      <c r="W148" s="2"/>
      <c r="X148" s="2"/>
      <c r="Y148" s="2"/>
      <c r="Z148" s="2"/>
      <c r="AA148" s="2"/>
    </row>
    <row r="149" spans="1:27" s="5" customFormat="1" x14ac:dyDescent="0.2">
      <c r="A149" s="53"/>
      <c r="B149" s="57"/>
      <c r="C149" s="72"/>
      <c r="D149" s="72"/>
      <c r="E149" s="87"/>
      <c r="F149" s="73"/>
      <c r="G149" s="73"/>
      <c r="H149" s="37"/>
      <c r="I149" s="37"/>
      <c r="J149" s="55"/>
      <c r="K149" s="50"/>
      <c r="M149" s="2"/>
      <c r="N149" s="116"/>
      <c r="O149" s="116"/>
      <c r="P149" s="123"/>
      <c r="Q149" s="117"/>
      <c r="R149" s="117"/>
      <c r="S149" s="117"/>
      <c r="T149" s="117"/>
      <c r="U149" s="2"/>
      <c r="V149" s="2"/>
      <c r="W149" s="2"/>
      <c r="X149" s="2"/>
      <c r="Y149" s="2"/>
      <c r="Z149" s="2"/>
      <c r="AA149" s="2"/>
    </row>
    <row r="150" spans="1:27" s="5" customFormat="1" x14ac:dyDescent="0.2">
      <c r="A150" s="70" t="s">
        <v>178</v>
      </c>
      <c r="B150" s="2"/>
      <c r="C150" s="2"/>
      <c r="D150" s="2"/>
      <c r="E150" s="77"/>
      <c r="F150" s="2"/>
      <c r="G150" s="2"/>
      <c r="H150" s="2"/>
      <c r="I150" s="2"/>
      <c r="J150" s="2"/>
      <c r="K150" s="50"/>
      <c r="M150" s="2"/>
      <c r="N150" s="116"/>
      <c r="O150" s="116"/>
      <c r="P150" s="123"/>
      <c r="Q150" s="117"/>
      <c r="R150" s="117"/>
      <c r="S150" s="117"/>
      <c r="T150" s="117"/>
      <c r="U150" s="2"/>
      <c r="V150" s="2"/>
      <c r="W150" s="2"/>
      <c r="X150" s="2"/>
      <c r="Y150" s="2"/>
      <c r="Z150" s="2"/>
      <c r="AA150" s="2"/>
    </row>
    <row r="151" spans="1:27" s="5" customFormat="1" x14ac:dyDescent="0.2">
      <c r="A151" s="74" t="s">
        <v>179</v>
      </c>
      <c r="B151" s="2"/>
      <c r="C151" s="2"/>
      <c r="D151" s="2"/>
      <c r="E151" s="77"/>
      <c r="F151" s="2"/>
      <c r="G151" s="2"/>
      <c r="H151" s="2"/>
      <c r="I151" s="2"/>
      <c r="J151" s="2"/>
      <c r="M151" s="2"/>
      <c r="N151" s="116"/>
      <c r="O151" s="116"/>
      <c r="P151" s="123"/>
      <c r="Q151" s="117"/>
      <c r="R151" s="117"/>
      <c r="S151" s="117"/>
      <c r="T151" s="117"/>
      <c r="U151" s="2"/>
      <c r="V151" s="2"/>
      <c r="W151" s="2"/>
      <c r="X151" s="2"/>
      <c r="Y151" s="2"/>
      <c r="Z151" s="2"/>
      <c r="AA151" s="2"/>
    </row>
    <row r="152" spans="1:27" s="5" customFormat="1" x14ac:dyDescent="0.2">
      <c r="A152" s="74" t="str">
        <f>"a training premium of "&amp;TEXT(P152,"$0.000")&amp;" per hour for all hours shall be paid."</f>
        <v>a training premium of $3.190 per hour for all hours shall be paid.</v>
      </c>
      <c r="B152" s="2"/>
      <c r="C152" s="2"/>
      <c r="D152" s="2"/>
      <c r="E152" s="77"/>
      <c r="F152" s="2"/>
      <c r="G152" s="2"/>
      <c r="H152" s="2"/>
      <c r="I152" s="2"/>
      <c r="J152" s="2"/>
      <c r="M152" s="2"/>
      <c r="N152" s="116" t="s">
        <v>363</v>
      </c>
      <c r="O152" s="116" t="s">
        <v>364</v>
      </c>
      <c r="P152" s="123">
        <v>3.19</v>
      </c>
      <c r="Q152" s="117"/>
      <c r="R152" s="117"/>
      <c r="S152" s="117"/>
      <c r="T152" s="117"/>
      <c r="U152" s="2"/>
      <c r="V152" s="2"/>
      <c r="W152" s="2"/>
      <c r="X152" s="2"/>
      <c r="Y152" s="2"/>
      <c r="Z152" s="2"/>
      <c r="AA152" s="2"/>
    </row>
    <row r="153" spans="1:27" s="5" customFormat="1" x14ac:dyDescent="0.2">
      <c r="A153" s="74"/>
      <c r="B153" s="2"/>
      <c r="C153" s="2"/>
      <c r="D153" s="2"/>
      <c r="E153" s="77"/>
      <c r="F153" s="2"/>
      <c r="G153" s="2"/>
      <c r="H153" s="2"/>
      <c r="I153" s="2"/>
      <c r="J153" s="2"/>
      <c r="M153" s="2"/>
      <c r="N153" s="116"/>
      <c r="O153" s="116"/>
      <c r="P153" s="123"/>
      <c r="Q153" s="117"/>
      <c r="R153" s="117"/>
      <c r="S153" s="117"/>
      <c r="T153" s="117"/>
      <c r="U153" s="2"/>
      <c r="V153" s="2"/>
      <c r="W153" s="2"/>
      <c r="X153" s="2"/>
      <c r="Y153" s="2"/>
      <c r="Z153" s="2"/>
      <c r="AA153" s="2"/>
    </row>
    <row r="154" spans="1:27" x14ac:dyDescent="0.2">
      <c r="A154" s="70" t="s">
        <v>199</v>
      </c>
    </row>
  </sheetData>
  <phoneticPr fontId="20" type="noConversion"/>
  <printOptions gridLines="1"/>
  <pageMargins left="0.25" right="0.25" top="0.75" bottom="0.75" header="0.3" footer="0.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7E6B-DE1F-4CA5-B9F6-6D224B8457BA}">
  <sheetPr codeName="Sheet9">
    <pageSetUpPr fitToPage="1"/>
  </sheetPr>
  <dimension ref="A1:AD154"/>
  <sheetViews>
    <sheetView showGridLines="0" topLeftCell="O4" zoomScale="110" zoomScaleNormal="110"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8.140625" style="2" bestFit="1" customWidth="1"/>
    <col min="9" max="10" width="10.140625" style="2" bestFit="1" customWidth="1"/>
    <col min="11" max="11" width="10.140625" style="5" bestFit="1" customWidth="1"/>
    <col min="12" max="12" width="9.7109375" style="5" bestFit="1" customWidth="1"/>
    <col min="13" max="13" width="12.7109375" style="2" hidden="1" customWidth="1"/>
    <col min="14" max="14" width="11.5703125" style="140" bestFit="1" customWidth="1"/>
    <col min="15" max="15" width="8.7109375" style="139" bestFit="1" customWidth="1"/>
    <col min="16" max="16" width="35.28515625" style="139" bestFit="1" customWidth="1"/>
    <col min="17" max="17" width="19.5703125" style="140" bestFit="1" customWidth="1"/>
    <col min="18" max="18" width="11.28515625" style="140" bestFit="1" customWidth="1"/>
    <col min="19" max="21" width="7.42578125" style="140" bestFit="1" customWidth="1"/>
    <col min="22" max="22" width="0" style="2" hidden="1" customWidth="1"/>
    <col min="23" max="23" width="9.140625" style="116" bestFit="1" customWidth="1"/>
    <col min="24" max="24" width="11.7109375" style="117" bestFit="1" customWidth="1"/>
    <col min="25" max="25" width="35.28515625" style="116" bestFit="1" customWidth="1"/>
    <col min="26" max="26" width="19.5703125" style="117" bestFit="1" customWidth="1"/>
    <col min="27" max="27" width="7.42578125" style="117" bestFit="1" customWidth="1"/>
    <col min="28" max="30" width="7.42578125" style="116" bestFit="1" customWidth="1"/>
    <col min="31" max="31" width="0" style="2" hidden="1" customWidth="1"/>
    <col min="32" max="16384" width="9.140625" style="2"/>
  </cols>
  <sheetData>
    <row r="1" spans="1:30" x14ac:dyDescent="0.2">
      <c r="A1" s="1" t="s">
        <v>0</v>
      </c>
      <c r="D1" s="3"/>
      <c r="I1" s="4"/>
      <c r="J1" s="4"/>
      <c r="N1" s="137" t="s">
        <v>379</v>
      </c>
      <c r="O1" s="138">
        <v>1.0149999999999999</v>
      </c>
      <c r="Q1" s="140">
        <f>Q3/Q2</f>
        <v>1.0006613692620401</v>
      </c>
    </row>
    <row r="2" spans="1:30" x14ac:dyDescent="0.2">
      <c r="A2" s="2" t="s">
        <v>397</v>
      </c>
      <c r="D2" s="3"/>
      <c r="I2" s="4"/>
      <c r="J2" s="4"/>
      <c r="K2" s="6"/>
      <c r="Q2" s="140">
        <f>'1 1 2020 '!P8*1.015</f>
        <v>34.328296319995751</v>
      </c>
    </row>
    <row r="3" spans="1:30" x14ac:dyDescent="0.2">
      <c r="A3" s="134" t="s">
        <v>393</v>
      </c>
      <c r="D3" s="3"/>
      <c r="I3" s="4"/>
      <c r="J3" s="4"/>
      <c r="K3" s="6"/>
      <c r="Q3" s="140">
        <v>34.350999999999999</v>
      </c>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400</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29.019135021854634</v>
      </c>
      <c r="I6" s="15">
        <f>R6</f>
        <v>30.289747373587538</v>
      </c>
      <c r="J6" s="4"/>
      <c r="K6" s="16"/>
      <c r="L6" s="93"/>
      <c r="M6" s="93"/>
      <c r="N6" s="146" t="s">
        <v>377</v>
      </c>
      <c r="O6" s="146" t="str">
        <f>A6</f>
        <v>01180C</v>
      </c>
      <c r="P6" s="139" t="str">
        <f>D6</f>
        <v>Automotive Mechanic</v>
      </c>
      <c r="Q6" s="147">
        <f t="shared" ref="Q6:R12" si="0">IF($N6="Y",((VLOOKUP($O6,Data2020,Q$4,0)+Pension2020)*PercIncr2021)-Pension2021,VLOOKUP($O6,Data2020,Q$4,0)+Pension2020-Pension2021)</f>
        <v>29.019135021854634</v>
      </c>
      <c r="R6" s="147">
        <f t="shared" si="0"/>
        <v>30.289747373587538</v>
      </c>
      <c r="W6" s="116" t="str">
        <f t="shared" ref="W6:W13" si="1">O6</f>
        <v>01180C</v>
      </c>
      <c r="X6" s="117">
        <f t="shared" ref="X6:Y13" si="2">C6</f>
        <v>21</v>
      </c>
      <c r="Y6" s="116" t="str">
        <f t="shared" si="2"/>
        <v>Automotive Mechanic</v>
      </c>
      <c r="Z6" s="123">
        <f>ROUND(Q6,3)</f>
        <v>29.018999999999998</v>
      </c>
      <c r="AA6" s="123">
        <f>ROUND(R6,3)</f>
        <v>30.29</v>
      </c>
    </row>
    <row r="7" spans="1:30" x14ac:dyDescent="0.2">
      <c r="A7" s="4" t="s">
        <v>249</v>
      </c>
      <c r="B7" s="4" t="s">
        <v>184</v>
      </c>
      <c r="C7" s="75" t="s">
        <v>194</v>
      </c>
      <c r="D7" s="3" t="s">
        <v>248</v>
      </c>
      <c r="E7" s="4">
        <v>328</v>
      </c>
      <c r="F7" s="4">
        <v>7</v>
      </c>
      <c r="G7" s="4" t="s">
        <v>14</v>
      </c>
      <c r="H7" s="15">
        <f t="shared" ref="H7:I13" si="3">Q7</f>
        <v>31.639064874999995</v>
      </c>
      <c r="I7" s="15">
        <f t="shared" si="3"/>
        <v>34.20593423545035</v>
      </c>
      <c r="J7" s="4"/>
      <c r="K7" s="16"/>
      <c r="L7" s="93"/>
      <c r="M7" s="93"/>
      <c r="N7" s="146" t="s">
        <v>377</v>
      </c>
      <c r="O7" s="146" t="str">
        <f t="shared" ref="O7:O15" si="4">A7</f>
        <v xml:space="preserve">52930C </v>
      </c>
      <c r="P7" s="139" t="str">
        <f t="shared" ref="P7:P15" si="5">D7</f>
        <v>Fleet Equipment Repair Coordinator</v>
      </c>
      <c r="Q7" s="147">
        <f t="shared" si="0"/>
        <v>31.639064874999995</v>
      </c>
      <c r="R7" s="147">
        <f t="shared" si="0"/>
        <v>34.20593423545035</v>
      </c>
      <c r="W7" s="116" t="str">
        <f t="shared" si="1"/>
        <v xml:space="preserve">52930C </v>
      </c>
      <c r="X7" s="117" t="str">
        <f t="shared" si="2"/>
        <v>12</v>
      </c>
      <c r="Y7" s="116" t="str">
        <f t="shared" si="2"/>
        <v>Fleet Equipment Repair Coordinator</v>
      </c>
      <c r="Z7" s="123">
        <f t="shared" ref="Z7:AA13" si="6">ROUND(Q7,3)</f>
        <v>31.638999999999999</v>
      </c>
      <c r="AA7" s="123">
        <f t="shared" si="6"/>
        <v>34.206000000000003</v>
      </c>
    </row>
    <row r="8" spans="1:30" x14ac:dyDescent="0.2">
      <c r="A8" s="4" t="s">
        <v>17</v>
      </c>
      <c r="B8" s="4" t="s">
        <v>184</v>
      </c>
      <c r="C8" s="75" t="s">
        <v>194</v>
      </c>
      <c r="D8" s="3" t="s">
        <v>18</v>
      </c>
      <c r="E8" s="4">
        <v>335</v>
      </c>
      <c r="F8" s="4">
        <v>7</v>
      </c>
      <c r="G8" s="4" t="s">
        <v>14</v>
      </c>
      <c r="H8" s="15">
        <f t="shared" si="3"/>
        <v>31.638928991514575</v>
      </c>
      <c r="I8" s="15">
        <f t="shared" si="3"/>
        <v>34.20593423545035</v>
      </c>
      <c r="J8" s="4"/>
      <c r="K8" s="16"/>
      <c r="L8" s="93"/>
      <c r="M8" s="93"/>
      <c r="N8" s="146" t="s">
        <v>377</v>
      </c>
      <c r="O8" s="146" t="str">
        <f t="shared" si="4"/>
        <v>04520C</v>
      </c>
      <c r="P8" s="139" t="str">
        <f t="shared" si="5"/>
        <v>Foreman Auto Mechanic</v>
      </c>
      <c r="Q8" s="147">
        <f t="shared" si="0"/>
        <v>31.638928991514575</v>
      </c>
      <c r="R8" s="147">
        <f t="shared" si="0"/>
        <v>34.20593423545035</v>
      </c>
      <c r="W8" s="116" t="str">
        <f t="shared" si="1"/>
        <v>04520C</v>
      </c>
      <c r="X8" s="117" t="str">
        <f t="shared" si="2"/>
        <v>12</v>
      </c>
      <c r="Y8" s="116" t="str">
        <f t="shared" si="2"/>
        <v>Foreman Auto Mechanic</v>
      </c>
      <c r="Z8" s="123">
        <f t="shared" si="6"/>
        <v>31.638999999999999</v>
      </c>
      <c r="AA8" s="123">
        <f t="shared" si="6"/>
        <v>34.206000000000003</v>
      </c>
    </row>
    <row r="9" spans="1:30" x14ac:dyDescent="0.2">
      <c r="A9" s="4" t="s">
        <v>19</v>
      </c>
      <c r="B9" s="4" t="s">
        <v>184</v>
      </c>
      <c r="C9" s="75" t="s">
        <v>197</v>
      </c>
      <c r="D9" s="3" t="s">
        <v>20</v>
      </c>
      <c r="E9" s="4">
        <v>393</v>
      </c>
      <c r="F9" s="4">
        <v>8</v>
      </c>
      <c r="G9" s="4" t="s">
        <v>14</v>
      </c>
      <c r="H9" s="15">
        <f t="shared" si="3"/>
        <v>34.350796319995752</v>
      </c>
      <c r="I9" s="15">
        <f t="shared" si="3"/>
        <v>37.758738241165389</v>
      </c>
      <c r="J9" s="4"/>
      <c r="K9" s="16"/>
      <c r="L9" s="93"/>
      <c r="M9" s="93"/>
      <c r="N9" s="146" t="s">
        <v>377</v>
      </c>
      <c r="O9" s="146" t="str">
        <f t="shared" si="4"/>
        <v>04820C</v>
      </c>
      <c r="P9" s="139" t="str">
        <f t="shared" si="5"/>
        <v>Foreman Paving Products Plant</v>
      </c>
      <c r="Q9" s="147">
        <f t="shared" si="0"/>
        <v>34.350796319995752</v>
      </c>
      <c r="R9" s="147">
        <f t="shared" si="0"/>
        <v>37.758738241165389</v>
      </c>
      <c r="W9" s="116" t="str">
        <f t="shared" si="1"/>
        <v>04820C</v>
      </c>
      <c r="X9" s="117" t="str">
        <f t="shared" si="2"/>
        <v>35</v>
      </c>
      <c r="Y9" s="116" t="str">
        <f t="shared" si="2"/>
        <v>Foreman Paving Products Plant</v>
      </c>
      <c r="Z9" s="123">
        <f t="shared" si="6"/>
        <v>34.350999999999999</v>
      </c>
      <c r="AA9" s="123">
        <f t="shared" si="6"/>
        <v>37.759</v>
      </c>
    </row>
    <row r="10" spans="1:30" x14ac:dyDescent="0.2">
      <c r="A10" s="4" t="s">
        <v>21</v>
      </c>
      <c r="B10" s="4" t="s">
        <v>184</v>
      </c>
      <c r="C10" s="75" t="s">
        <v>193</v>
      </c>
      <c r="D10" s="14" t="s">
        <v>22</v>
      </c>
      <c r="E10" s="4">
        <v>295</v>
      </c>
      <c r="F10" s="4">
        <v>6</v>
      </c>
      <c r="G10" s="4" t="s">
        <v>14</v>
      </c>
      <c r="H10" s="15">
        <f t="shared" si="3"/>
        <v>27.943718190822711</v>
      </c>
      <c r="I10" s="15">
        <f t="shared" si="3"/>
        <v>29.987746756653923</v>
      </c>
      <c r="J10" s="4"/>
      <c r="K10" s="16"/>
      <c r="L10" s="93"/>
      <c r="M10" s="93"/>
      <c r="N10" s="146" t="s">
        <v>377</v>
      </c>
      <c r="O10" s="146" t="str">
        <f t="shared" si="4"/>
        <v>07115C</v>
      </c>
      <c r="P10" s="139" t="str">
        <f t="shared" si="5"/>
        <v>Metal Fabrication &amp; Welding Specialist</v>
      </c>
      <c r="Q10" s="147">
        <f t="shared" si="0"/>
        <v>27.943718190822711</v>
      </c>
      <c r="R10" s="147">
        <f t="shared" si="0"/>
        <v>29.987746756653923</v>
      </c>
      <c r="W10" s="116" t="str">
        <f t="shared" si="1"/>
        <v>07115C</v>
      </c>
      <c r="X10" s="117" t="str">
        <f t="shared" si="2"/>
        <v>07</v>
      </c>
      <c r="Y10" s="116" t="str">
        <f t="shared" si="2"/>
        <v>Metal Fabrication &amp; Welding Specialist</v>
      </c>
      <c r="Z10" s="123">
        <f t="shared" si="6"/>
        <v>27.943999999999999</v>
      </c>
      <c r="AA10" s="123">
        <f t="shared" si="6"/>
        <v>29.988</v>
      </c>
    </row>
    <row r="11" spans="1:30" x14ac:dyDescent="0.2">
      <c r="A11" s="4" t="s">
        <v>255</v>
      </c>
      <c r="B11" s="4" t="s">
        <v>184</v>
      </c>
      <c r="C11" s="75" t="s">
        <v>194</v>
      </c>
      <c r="D11" s="14" t="s">
        <v>251</v>
      </c>
      <c r="E11" s="4">
        <v>328</v>
      </c>
      <c r="F11" s="4">
        <v>7</v>
      </c>
      <c r="G11" s="4" t="s">
        <v>14</v>
      </c>
      <c r="H11" s="15">
        <f t="shared" si="3"/>
        <v>31.639064874999995</v>
      </c>
      <c r="I11" s="15">
        <f t="shared" si="3"/>
        <v>34.20593423545035</v>
      </c>
      <c r="J11" s="4"/>
      <c r="K11" s="16"/>
      <c r="L11" s="93"/>
      <c r="M11" s="93"/>
      <c r="N11" s="146" t="s">
        <v>377</v>
      </c>
      <c r="O11" s="146" t="str">
        <f t="shared" si="4"/>
        <v>52973C</v>
      </c>
      <c r="P11" s="139" t="str">
        <f t="shared" si="5"/>
        <v>Sanitation Equipment Repair Coordinator</v>
      </c>
      <c r="Q11" s="147">
        <f t="shared" si="0"/>
        <v>31.639064874999995</v>
      </c>
      <c r="R11" s="147">
        <f t="shared" si="0"/>
        <v>34.20593423545035</v>
      </c>
      <c r="W11" s="116" t="str">
        <f t="shared" si="1"/>
        <v>52973C</v>
      </c>
      <c r="X11" s="117" t="str">
        <f t="shared" si="2"/>
        <v>12</v>
      </c>
      <c r="Y11" s="116" t="str">
        <f t="shared" si="2"/>
        <v>Sanitation Equipment Repair Coordinator</v>
      </c>
      <c r="Z11" s="123">
        <f t="shared" si="6"/>
        <v>31.638999999999999</v>
      </c>
      <c r="AA11" s="123">
        <f t="shared" si="6"/>
        <v>34.206000000000003</v>
      </c>
    </row>
    <row r="12" spans="1:30" x14ac:dyDescent="0.2">
      <c r="A12" s="4" t="s">
        <v>23</v>
      </c>
      <c r="B12" s="4" t="s">
        <v>184</v>
      </c>
      <c r="C12" s="75" t="s">
        <v>192</v>
      </c>
      <c r="D12" s="3" t="s">
        <v>214</v>
      </c>
      <c r="E12" s="4">
        <v>295</v>
      </c>
      <c r="F12" s="4">
        <v>6</v>
      </c>
      <c r="G12" s="4" t="s">
        <v>14</v>
      </c>
      <c r="H12" s="15">
        <f t="shared" si="3"/>
        <v>29.019135021854634</v>
      </c>
      <c r="I12" s="15">
        <f t="shared" si="3"/>
        <v>30.289747373587538</v>
      </c>
      <c r="J12" s="4"/>
      <c r="K12" s="16"/>
      <c r="L12" s="93"/>
      <c r="M12" s="93"/>
      <c r="N12" s="146" t="s">
        <v>377</v>
      </c>
      <c r="O12" s="146" t="str">
        <f t="shared" si="4"/>
        <v>10960C</v>
      </c>
      <c r="P12" s="139" t="str">
        <f t="shared" si="5"/>
        <v>Welder, Shop</v>
      </c>
      <c r="Q12" s="147">
        <f t="shared" si="0"/>
        <v>29.019135021854634</v>
      </c>
      <c r="R12" s="147">
        <f t="shared" si="0"/>
        <v>30.289747373587538</v>
      </c>
      <c r="W12" s="116" t="str">
        <f t="shared" si="1"/>
        <v>10960C</v>
      </c>
      <c r="X12" s="117" t="str">
        <f t="shared" si="2"/>
        <v>05</v>
      </c>
      <c r="Y12" s="116" t="str">
        <f t="shared" si="2"/>
        <v>Welder, Shop</v>
      </c>
      <c r="Z12" s="123">
        <f t="shared" si="6"/>
        <v>29.018999999999998</v>
      </c>
      <c r="AA12" s="123">
        <f t="shared" si="6"/>
        <v>30.29</v>
      </c>
    </row>
    <row r="13" spans="1:30" x14ac:dyDescent="0.2">
      <c r="A13" s="4" t="s">
        <v>25</v>
      </c>
      <c r="B13" s="4" t="s">
        <v>184</v>
      </c>
      <c r="C13" s="75" t="s">
        <v>195</v>
      </c>
      <c r="D13" s="3" t="s">
        <v>283</v>
      </c>
      <c r="E13" s="4">
        <v>285</v>
      </c>
      <c r="F13" s="4">
        <v>6</v>
      </c>
      <c r="G13" s="4" t="s">
        <v>14</v>
      </c>
      <c r="H13" s="15" t="str">
        <f t="shared" si="3"/>
        <v>NA</v>
      </c>
      <c r="I13" s="15">
        <f t="shared" si="3"/>
        <v>31.965398254001599</v>
      </c>
      <c r="J13" s="4"/>
      <c r="K13" s="16"/>
      <c r="L13" s="93"/>
      <c r="M13" s="93"/>
      <c r="N13" s="146" t="s">
        <v>377</v>
      </c>
      <c r="O13" s="146" t="str">
        <f t="shared" si="4"/>
        <v>08569C</v>
      </c>
      <c r="P13" s="139" t="str">
        <f t="shared" si="5"/>
        <v>Public Works Service Worker 2 (PWSW2)</v>
      </c>
      <c r="Q13" s="147" t="s">
        <v>380</v>
      </c>
      <c r="R13" s="147">
        <f>IF($N13="Y",((VLOOKUP($O13,Data2020,R$4,0)+Pension2020)*PercIncr2021)-Pension2021,VLOOKUP($O13,Data2020,R$4,0)+Pension2020-Pension2021)</f>
        <v>31.965398254001599</v>
      </c>
      <c r="W13" s="116" t="str">
        <f t="shared" si="1"/>
        <v>08569C</v>
      </c>
      <c r="X13" s="117" t="str">
        <f t="shared" si="2"/>
        <v>20</v>
      </c>
      <c r="Y13" s="116" t="str">
        <f t="shared" si="2"/>
        <v>Public Works Service Worker 2 (PWSW2)</v>
      </c>
      <c r="Z13" s="123"/>
      <c r="AA13" s="123">
        <f t="shared" si="6"/>
        <v>31.965</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28.739713440365275</v>
      </c>
      <c r="I15" s="15">
        <f>R15</f>
        <v>30.024576100182415</v>
      </c>
      <c r="J15" s="4"/>
      <c r="K15" s="26"/>
      <c r="L15" s="26"/>
      <c r="M15" s="108"/>
      <c r="N15" s="148" t="s">
        <v>377</v>
      </c>
      <c r="O15" s="146" t="str">
        <f t="shared" si="4"/>
        <v>02526C</v>
      </c>
      <c r="P15" s="139" t="str">
        <f t="shared" si="5"/>
        <v>PWSW2 - WU Shop</v>
      </c>
      <c r="Q15" s="147">
        <f>IF($N15="Y",((VLOOKUP($O15,Data2020,Q$4,0)+Pension2020)*PercIncr2021)-Pension2021,VLOOKUP($O15,Data2020,Q$4,0)+Pension2020-Pension2021)</f>
        <v>28.739713440365275</v>
      </c>
      <c r="R15" s="147">
        <f>IF($N15="Y",((VLOOKUP($O15,Data2020,R$4,0)+Pension2020)*PercIncr2021)-Pension2021,VLOOKUP($O15,Data2020,R$4,0)+Pension2020-Pension2021)</f>
        <v>30.024576100182415</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28.648579704642305</v>
      </c>
      <c r="I19" s="15">
        <f>R19</f>
        <v>29.634588746588488</v>
      </c>
      <c r="J19" s="15">
        <f>S19</f>
        <v>30.411525249059526</v>
      </c>
      <c r="K19" s="15">
        <f>T19</f>
        <v>31.188461751530561</v>
      </c>
      <c r="L19" s="15">
        <f>U19</f>
        <v>31.965398254001599</v>
      </c>
      <c r="M19" s="2"/>
      <c r="N19" s="140" t="s">
        <v>377</v>
      </c>
      <c r="O19" s="146" t="str">
        <f>A19</f>
        <v>02624C</v>
      </c>
      <c r="P19" s="139" t="str">
        <f>D19</f>
        <v>PWSW2 Apprentice Program for  PWSW1's</v>
      </c>
      <c r="Q19" s="147">
        <f>IF($N19="Y",((VLOOKUP($O19,Data2020,Q$4,0)+Pension2020)*PercIncr2021)-Pension2021,VLOOKUP($O19,Data2020,Q$4,0)+Pension2020-Pension2021)</f>
        <v>28.648579704642305</v>
      </c>
      <c r="R19" s="147">
        <f>IF($N19="Y",((VLOOKUP($O19,Data2020,R$4,0)+Pension2020)*PercIncr2021)-Pension2021,VLOOKUP($O19,Data2020,R$4,0)+Pension2020-Pension2021)</f>
        <v>29.634588746588488</v>
      </c>
      <c r="S19" s="147">
        <f>IF($N19="Y",((VLOOKUP($O19,Data2020,S$4,0)+Pension2020)*PercIncr2021)-Pension2021,VLOOKUP($O19,Data2020,S$4,0)+Pension2020-Pension2021)</f>
        <v>30.411525249059526</v>
      </c>
      <c r="T19" s="147">
        <f>IF($N19="Y",((VLOOKUP($O19,Data2020,T$4,0)+Pension2020)*PercIncr2021)-Pension2021,VLOOKUP($O19,Data2020,T$4,0)+Pension2020-Pension2021)</f>
        <v>31.188461751530561</v>
      </c>
      <c r="U19" s="147">
        <f>IF($N19="Y",((VLOOKUP($O19,Data2020,U$4,0)+Pension2020)*PercIncr2021)-Pension2021,VLOOKUP($O19,Data2020,U$4,0)+Pension2020-Pension2021)</f>
        <v>31.965398254001599</v>
      </c>
      <c r="V19" s="2"/>
      <c r="W19" s="116" t="str">
        <f>O19</f>
        <v>02624C</v>
      </c>
      <c r="X19" s="117">
        <f>C19</f>
        <v>36</v>
      </c>
      <c r="Y19" s="116" t="str">
        <f>D19</f>
        <v>PWSW2 Apprentice Program for  PWSW1's</v>
      </c>
      <c r="Z19" s="123">
        <f>ROUND(Q19,3)</f>
        <v>28.649000000000001</v>
      </c>
      <c r="AA19" s="123">
        <f>ROUND(R19,3)</f>
        <v>29.635000000000002</v>
      </c>
      <c r="AB19" s="123">
        <f>ROUND(S19,3)</f>
        <v>30.411999999999999</v>
      </c>
      <c r="AC19" s="123">
        <f>ROUND(T19,3)</f>
        <v>31.187999999999999</v>
      </c>
      <c r="AD19" s="123">
        <f>ROUND(U19,3)</f>
        <v>31.965</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29.546104559934815</v>
      </c>
      <c r="I23" s="15">
        <f>R23</f>
        <v>30.314408186250642</v>
      </c>
      <c r="J23" s="15">
        <f>S23</f>
        <v>30.864738208834297</v>
      </c>
      <c r="K23" s="15">
        <f>T23</f>
        <v>31.415068231417948</v>
      </c>
      <c r="L23" s="15">
        <f>U23</f>
        <v>31.965398254001599</v>
      </c>
      <c r="M23" s="2"/>
      <c r="N23" s="140" t="s">
        <v>377</v>
      </c>
      <c r="O23" s="146" t="str">
        <f>A23</f>
        <v>02622C</v>
      </c>
      <c r="P23" s="139" t="str">
        <f>D23</f>
        <v>PWSW2 Apprentice Program for MCL's</v>
      </c>
      <c r="Q23" s="147">
        <f>IF($N23="Y",((VLOOKUP($O23,Data2020,Q$4,0)+Pension2020)*PercIncr2021)-Pension2021,VLOOKUP($O23,Data2020,Q$4,0)+Pension2020-Pension2021)</f>
        <v>29.546104559934815</v>
      </c>
      <c r="R23" s="147">
        <f>IF($N23="Y",((VLOOKUP($O23,Data2020,R$4,0)+Pension2020)*PercIncr2021)-Pension2021,VLOOKUP($O23,Data2020,R$4,0)+Pension2020-Pension2021)</f>
        <v>30.314408186250642</v>
      </c>
      <c r="S23" s="147">
        <f>IF($N23="Y",((VLOOKUP($O23,Data2020,S$4,0)+Pension2020)*PercIncr2021)-Pension2021,VLOOKUP($O23,Data2020,S$4,0)+Pension2020-Pension2021)</f>
        <v>30.864738208834297</v>
      </c>
      <c r="T23" s="147">
        <f>IF($N23="Y",((VLOOKUP($O23,Data2020,T$4,0)+Pension2020)*PercIncr2021)-Pension2021,VLOOKUP($O23,Data2020,T$4,0)+Pension2020-Pension2021)</f>
        <v>31.415068231417948</v>
      </c>
      <c r="U23" s="147">
        <f>IF($N23="Y",((VLOOKUP($O23,Data2020,U$4,0)+Pension2020)*PercIncr2021)-Pension2021,VLOOKUP($O23,Data2020,U$4,0)+Pension2020-Pension2021)</f>
        <v>31.965398254001599</v>
      </c>
      <c r="V23" s="2"/>
      <c r="W23" s="116" t="str">
        <f>O23</f>
        <v>02622C</v>
      </c>
      <c r="X23" s="117">
        <f>C23</f>
        <v>37</v>
      </c>
      <c r="Y23" s="116" t="str">
        <f>D23</f>
        <v>PWSW2 Apprentice Program for MCL's</v>
      </c>
      <c r="Z23" s="123">
        <f>ROUND(Q23,3)</f>
        <v>29.545999999999999</v>
      </c>
      <c r="AA23" s="123">
        <f>ROUND(R23,3)</f>
        <v>30.314</v>
      </c>
      <c r="AB23" s="123">
        <f>ROUND(S23,3)</f>
        <v>30.864999999999998</v>
      </c>
      <c r="AC23" s="123">
        <f>ROUND(T23,3)</f>
        <v>31.414999999999999</v>
      </c>
      <c r="AD23" s="123">
        <f>ROUND(U23,3)</f>
        <v>31.965</v>
      </c>
    </row>
    <row r="24" spans="1:30" s="5" customFormat="1" x14ac:dyDescent="0.2">
      <c r="A24" s="29"/>
      <c r="B24" s="29"/>
      <c r="C24" s="4"/>
      <c r="D24" s="132"/>
      <c r="E24" s="24"/>
      <c r="F24" s="25"/>
      <c r="G24" s="4"/>
      <c r="H24" s="15"/>
      <c r="I24" s="15"/>
      <c r="J24" s="15"/>
      <c r="K24" s="15"/>
      <c r="L24" s="15"/>
      <c r="M24" s="2"/>
      <c r="N24" s="140"/>
      <c r="O24" s="146"/>
      <c r="P24" s="139"/>
      <c r="Q24" s="147"/>
      <c r="R24" s="147"/>
      <c r="S24" s="147"/>
      <c r="T24" s="147"/>
      <c r="U24" s="147"/>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17.987999999999996</v>
      </c>
      <c r="I26" s="15">
        <f>R26</f>
        <v>21.053299999999997</v>
      </c>
      <c r="J26" s="15">
        <f>S26</f>
        <v>27.2042</v>
      </c>
      <c r="K26" s="15"/>
      <c r="L26" s="15"/>
      <c r="M26" s="2"/>
      <c r="N26" s="140" t="s">
        <v>377</v>
      </c>
      <c r="O26" s="146" t="str">
        <f>A26</f>
        <v>52919C</v>
      </c>
      <c r="P26" s="139" t="str">
        <f>D26</f>
        <v>Auto Mechanic Trainee</v>
      </c>
      <c r="Q26" s="147">
        <f>IF($N26="Y",((VLOOKUP($O26,Data2020,Q$4,0)+Pension2020)*PercIncr2021)-Pension2021,VLOOKUP($O26,Data2020,Q$4,0)+Pension2020-Pension2021)</f>
        <v>17.987999999999996</v>
      </c>
      <c r="R26" s="147">
        <f>IF($N26="Y",((VLOOKUP($O26,Data2020,R$4,0)+Pension2020)*PercIncr2021)-Pension2021,VLOOKUP($O26,Data2020,R$4,0)+Pension2020-Pension2021)</f>
        <v>21.053299999999997</v>
      </c>
      <c r="S26" s="147">
        <f>IF($N26="Y",((VLOOKUP($O26,Data2020,S$4,0)+Pension2020)*PercIncr2021)-Pension2021,VLOOKUP($O26,Data2020,S$4,0)+Pension2020-Pension2021)</f>
        <v>27.2042</v>
      </c>
      <c r="T26" s="147"/>
      <c r="U26" s="147"/>
      <c r="V26" s="2"/>
      <c r="W26" s="116" t="str">
        <f>O26</f>
        <v>52919C</v>
      </c>
      <c r="X26" s="117">
        <f>C26</f>
        <v>38</v>
      </c>
      <c r="Y26" s="116" t="str">
        <f>D26</f>
        <v>Auto Mechanic Trainee</v>
      </c>
      <c r="Z26" s="123">
        <f>ROUND(Q26,3)</f>
        <v>17.988</v>
      </c>
      <c r="AA26" s="123">
        <f>ROUND(R26,3)</f>
        <v>21.053000000000001</v>
      </c>
      <c r="AB26" s="123">
        <f>ROUND(S26,3)</f>
        <v>27.204000000000001</v>
      </c>
      <c r="AC26" s="123">
        <f>ROUND(T26,3)</f>
        <v>0</v>
      </c>
      <c r="AD26" s="123">
        <f>ROUND(U26,3)</f>
        <v>0</v>
      </c>
    </row>
    <row r="27" spans="1:30" s="5" customFormat="1" x14ac:dyDescent="0.2">
      <c r="A27" s="29"/>
      <c r="B27" s="29"/>
      <c r="C27" s="4"/>
      <c r="D27" s="23"/>
      <c r="E27" s="24"/>
      <c r="F27" s="24"/>
      <c r="G27" s="25"/>
      <c r="H27" s="4" t="s">
        <v>30</v>
      </c>
      <c r="I27" s="15"/>
      <c r="J27" s="4" t="s">
        <v>30</v>
      </c>
      <c r="K27" s="26"/>
      <c r="L27" s="26"/>
      <c r="M27" s="108"/>
      <c r="N27" s="148"/>
      <c r="O27" s="148"/>
      <c r="P27" s="139"/>
      <c r="Q27" s="140"/>
      <c r="R27" s="140"/>
      <c r="S27" s="140"/>
      <c r="T27" s="140"/>
      <c r="U27" s="140"/>
      <c r="V27" s="2"/>
      <c r="W27" s="116"/>
      <c r="X27" s="117"/>
      <c r="Y27" s="116"/>
      <c r="Z27" s="117"/>
      <c r="AA27" s="117"/>
      <c r="AB27" s="116"/>
      <c r="AC27" s="136"/>
      <c r="AD27" s="136"/>
    </row>
    <row r="28" spans="1:30" s="5" customForma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IF($N29="Y",VLOOKUP($O29,Data2020,Q$4,0)*PercIncr2021,VLOOKUP($O29,Data2020,Q$4,0))</f>
        <v>1.5</v>
      </c>
      <c r="R29" s="150" t="s">
        <v>382</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$1.228 per hour for all hours on the equipment.</v>
      </c>
      <c r="B37" s="33"/>
      <c r="C37" s="33"/>
      <c r="D37" s="33"/>
      <c r="G37"/>
      <c r="H37"/>
      <c r="I37" s="33"/>
      <c r="J37" s="33"/>
      <c r="K37" s="33"/>
      <c r="M37" s="33"/>
      <c r="N37" s="140" t="s">
        <v>377</v>
      </c>
      <c r="O37" s="139" t="s">
        <v>351</v>
      </c>
      <c r="P37" s="139" t="s">
        <v>352</v>
      </c>
      <c r="Q37" s="147">
        <f>IF($N37="Y",VLOOKUP($O37,Data2020,Q$4,0)*PercIncr2021,VLOOKUP($O37,Data2020,Q$4,0))</f>
        <v>1.2281499999999999</v>
      </c>
      <c r="W37" s="116" t="str">
        <f>O37</f>
        <v>CEQEQB</v>
      </c>
      <c r="Y37" s="116" t="str">
        <f>P37</f>
        <v>TL-Equipment B-CEQ</v>
      </c>
      <c r="Z37" s="123">
        <f>Q37</f>
        <v>1.2281499999999999</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$2.010 per  hour for all hours on the equipment.</v>
      </c>
      <c r="B40" s="33"/>
      <c r="C40" s="33"/>
      <c r="D40" s="33"/>
      <c r="G40"/>
      <c r="H40"/>
      <c r="I40" s="33"/>
      <c r="J40" s="33"/>
      <c r="K40" s="33"/>
      <c r="N40" s="140" t="s">
        <v>377</v>
      </c>
      <c r="O40" s="139" t="s">
        <v>350</v>
      </c>
      <c r="P40" s="139" t="s">
        <v>349</v>
      </c>
      <c r="Q40" s="147">
        <f>IF($N40="Y",VLOOKUP($O40,Data2020,Q$4,0)*PercIncr2021,VLOOKUP($O40,Data2020,Q$4,0))</f>
        <v>2.0096999999999996</v>
      </c>
      <c r="W40" s="116" t="str">
        <f>O40</f>
        <v>CEQEQC</v>
      </c>
      <c r="Y40" s="116" t="str">
        <f>P40</f>
        <v>TL-Equipment C-CEQ</v>
      </c>
      <c r="Z40" s="123">
        <f>Q40</f>
        <v>2.0096999999999996</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$1.841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IF($N44="Y",VLOOKUP($O44,Data2020,Q$4,0)*PercIncr2021,VLOOKUP($O44,Data2020,Q$4,0))</f>
        <v>1.8412099999999998</v>
      </c>
      <c r="W44" s="116" t="str">
        <f>O44</f>
        <v>CEQSPE</v>
      </c>
      <c r="Y44" s="116" t="str">
        <f>P44</f>
        <v>TL-Special Endorsement-CEQ</v>
      </c>
      <c r="Z44" s="123">
        <f>Q44</f>
        <v>1.8412099999999998</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$0.307 per hour for attaining and</v>
      </c>
      <c r="E49" s="83"/>
      <c r="L49" s="34"/>
      <c r="N49" s="140" t="s">
        <v>377</v>
      </c>
      <c r="O49" s="151" t="s">
        <v>342</v>
      </c>
      <c r="P49" s="151" t="s">
        <v>341</v>
      </c>
      <c r="Q49" s="147">
        <f>IF($N49="Y",VLOOKUP($O49,Data2020,Q$4,0)*PercIncr2021,VLOOKUP($O49,Data2020,Q$4,0))</f>
        <v>0.30652999999999997</v>
      </c>
      <c r="R49" s="140"/>
      <c r="S49" s="140"/>
      <c r="T49" s="140"/>
      <c r="U49" s="140"/>
      <c r="W49" s="116" t="str">
        <f>O49</f>
        <v>CEQHAZ</v>
      </c>
      <c r="X49" s="117"/>
      <c r="Y49" s="116" t="str">
        <f>P49</f>
        <v>Haz-Mat Certification</v>
      </c>
      <c r="Z49" s="123">
        <f>Q49</f>
        <v>0.30652999999999997</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$1.918 per hour</v>
      </c>
      <c r="E58" s="83"/>
      <c r="F58"/>
      <c r="G58"/>
      <c r="K58" s="34"/>
      <c r="L58" s="34"/>
      <c r="N58" s="140" t="s">
        <v>377</v>
      </c>
      <c r="O58" s="151" t="s">
        <v>345</v>
      </c>
      <c r="P58" s="151" t="s">
        <v>343</v>
      </c>
      <c r="Q58" s="147">
        <f>IF($N58="Y",VLOOKUP($O58,Data2020,Q$4,0)*PercIncr2021,VLOOKUP($O58,Data2020,Q$4,0))</f>
        <v>1.9183668457120033</v>
      </c>
      <c r="R58" s="140"/>
      <c r="S58" s="140"/>
      <c r="T58" s="140"/>
      <c r="U58" s="140"/>
      <c r="W58" s="116" t="str">
        <f>O58</f>
        <v>CEQOPA</v>
      </c>
      <c r="X58" s="117"/>
      <c r="Y58" s="116" t="str">
        <f t="shared" ref="Y58:Z60" si="7">P58</f>
        <v>TL-OSHA Prot Equip A-CEQ</v>
      </c>
      <c r="Z58" s="123">
        <f t="shared" si="7"/>
        <v>1.9183668457120033</v>
      </c>
      <c r="AA58" s="117"/>
      <c r="AB58" s="125"/>
      <c r="AC58" s="125"/>
      <c r="AD58" s="125"/>
    </row>
    <row r="59" spans="1:30" s="33" customFormat="1" x14ac:dyDescent="0.2">
      <c r="A59" s="47" t="str">
        <f>"Level B (as defined by OSHA) - "&amp;TEXT(Q59,"$0.000")&amp;" per hour"</f>
        <v>Level B (as defined by OSHA) - $1.380 per hour</v>
      </c>
      <c r="E59" s="83"/>
      <c r="F59"/>
      <c r="G59"/>
      <c r="K59" s="34"/>
      <c r="L59" s="34"/>
      <c r="N59" s="140" t="s">
        <v>377</v>
      </c>
      <c r="O59" s="151" t="s">
        <v>346</v>
      </c>
      <c r="P59" s="151" t="s">
        <v>344</v>
      </c>
      <c r="Q59" s="147">
        <f>IF($N59="Y",VLOOKUP($O59,Data2020,Q$4,0)*PercIncr2021,VLOOKUP($O59,Data2020,Q$4,0))</f>
        <v>1.3799218433254756</v>
      </c>
      <c r="R59" s="140"/>
      <c r="S59" s="140"/>
      <c r="T59" s="140"/>
      <c r="U59" s="140"/>
      <c r="W59" s="116" t="str">
        <f>O59</f>
        <v>CEQOPB</v>
      </c>
      <c r="X59" s="117"/>
      <c r="Y59" s="116" t="str">
        <f t="shared" si="7"/>
        <v>TL-OSHA Prot Equip B-CEQ</v>
      </c>
      <c r="Z59" s="123">
        <f t="shared" si="7"/>
        <v>1.3799218433254756</v>
      </c>
      <c r="AA59" s="117"/>
      <c r="AB59" s="125"/>
      <c r="AC59" s="125"/>
      <c r="AD59" s="125"/>
    </row>
    <row r="60" spans="1:30" x14ac:dyDescent="0.2">
      <c r="A60" s="47" t="str">
        <f>"Level C (as defined by OSHA) - "&amp;TEXT(Q60,"$0.000")&amp;" per hour"</f>
        <v>Level C (as defined by OSHA) - $0.920 per hour</v>
      </c>
      <c r="B60" s="20"/>
      <c r="C60" s="19"/>
      <c r="D60" s="19"/>
      <c r="E60" s="80"/>
      <c r="F60"/>
      <c r="G60"/>
      <c r="H60" s="37"/>
      <c r="I60" s="37"/>
      <c r="J60" s="37"/>
      <c r="K60" s="50"/>
      <c r="N60" s="140" t="s">
        <v>377</v>
      </c>
      <c r="O60" s="139" t="s">
        <v>326</v>
      </c>
      <c r="P60" s="139" t="s">
        <v>325</v>
      </c>
      <c r="Q60" s="147">
        <f>IF($N60="Y",VLOOKUP($O60,Data2020,Q$4,0)*PercIncr2021,VLOOKUP($O60,Data2020,Q$4,0))</f>
        <v>0.92036529477697315</v>
      </c>
      <c r="W60" s="116" t="str">
        <f>O60</f>
        <v>CEQOPC</v>
      </c>
      <c r="Y60" s="116" t="str">
        <f t="shared" si="7"/>
        <v>TL-OSHA Prot Equip C-CEQ</v>
      </c>
      <c r="Z60" s="123">
        <f t="shared" si="7"/>
        <v>0.92036529477697315</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$0.772 per hour for attaining and maintaining each of the 2 Core certifications.</v>
      </c>
      <c r="C65" s="39"/>
      <c r="D65" s="19"/>
      <c r="E65" s="19"/>
      <c r="F65" s="19"/>
      <c r="G65" s="19"/>
      <c r="H65" s="37"/>
      <c r="I65" s="37"/>
      <c r="J65" s="37"/>
      <c r="N65" s="140" t="s">
        <v>377</v>
      </c>
      <c r="O65" s="139" t="s">
        <v>369</v>
      </c>
      <c r="P65" s="139" t="s">
        <v>370</v>
      </c>
      <c r="Q65" s="147">
        <f>IF($N65="Y",VLOOKUP($O65,Data2020,Q$4,0)*PercIncr2021,VLOOKUP($O65,Data2020,Q$4,0))</f>
        <v>0.77193356987317086</v>
      </c>
      <c r="W65" s="116" t="str">
        <f>O65</f>
        <v>CEQWLC</v>
      </c>
      <c r="Y65" s="116" t="str">
        <f>P65</f>
        <v>Welding Certification - Core</v>
      </c>
      <c r="Z65" s="123">
        <f>Q65</f>
        <v>0.77193356987317086</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$0.772 for attaining and maintaining each of the 2 Supplemental certifications.</v>
      </c>
      <c r="C67" s="18"/>
      <c r="D67" s="19"/>
      <c r="E67" s="19"/>
      <c r="F67" s="19"/>
      <c r="G67" s="19"/>
      <c r="I67" s="37"/>
      <c r="J67" s="37"/>
      <c r="K67" s="50"/>
      <c r="N67" s="140" t="s">
        <v>377</v>
      </c>
      <c r="O67" s="139" t="s">
        <v>365</v>
      </c>
      <c r="P67" s="139" t="s">
        <v>366</v>
      </c>
      <c r="Q67" s="147">
        <f>IF($N67="Y",VLOOKUP($O67,Data2020,Q$4,0)*PercIncr2021,VLOOKUP($O67,Data2020,Q$4,0))</f>
        <v>0.77193356987317086</v>
      </c>
      <c r="W67" s="116" t="str">
        <f>O67</f>
        <v>CEQWLS</v>
      </c>
      <c r="Y67" s="116" t="str">
        <f>P67</f>
        <v>Welding Cert - Supplemental</v>
      </c>
      <c r="Z67" s="123">
        <f>Q67</f>
        <v>0.77193356987317086</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$0.772 per hour for each certification attained and maintained</v>
      </c>
      <c r="C70" s="19"/>
      <c r="E70" s="2"/>
      <c r="F70" s="19"/>
      <c r="G70" s="19"/>
      <c r="H70" s="37"/>
      <c r="I70" s="37"/>
      <c r="J70" s="37"/>
      <c r="N70" s="140" t="s">
        <v>377</v>
      </c>
      <c r="O70" s="139" t="s">
        <v>367</v>
      </c>
      <c r="P70" s="139" t="s">
        <v>368</v>
      </c>
      <c r="Q70" s="147">
        <f>IF($N70="Y",VLOOKUP($O70,Data2020,Q$4,0)*PercIncr2021,VLOOKUP($O70,Data2020,Q$4,0))</f>
        <v>0.77193356987317086</v>
      </c>
      <c r="W70" s="116" t="str">
        <f>O70</f>
        <v>CEQWL6</v>
      </c>
      <c r="Y70" s="116" t="str">
        <f>P70</f>
        <v>Welding Cert-Supplemental 6</v>
      </c>
      <c r="Z70" s="123">
        <f>Q70</f>
        <v>0.77193356987317086</v>
      </c>
    </row>
    <row r="71" spans="1:30" x14ac:dyDescent="0.2">
      <c r="A71" s="18"/>
      <c r="B71" s="20"/>
      <c r="C71" s="19"/>
      <c r="D71" s="19"/>
      <c r="E71" s="80"/>
      <c r="F71" s="19"/>
      <c r="G71" s="19"/>
      <c r="H71" s="37"/>
      <c r="I71" s="37"/>
      <c r="J71" s="37"/>
      <c r="O71" s="139" t="s">
        <v>401</v>
      </c>
      <c r="P71" s="139" t="s">
        <v>404</v>
      </c>
      <c r="Q71" s="147">
        <f>Q70</f>
        <v>0.77193356987317086</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$0.772 per hour for each certification group 'A' thorough 'D' attained and maintained.</v>
      </c>
      <c r="B73" s="20"/>
      <c r="C73" s="19"/>
      <c r="D73" s="19"/>
      <c r="E73" s="80"/>
      <c r="F73" s="19"/>
      <c r="G73" s="19"/>
      <c r="H73" s="37"/>
      <c r="I73" s="37"/>
      <c r="J73" s="19"/>
      <c r="Q73" s="147"/>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IF($N75="Y",VLOOKUP($O75,Data2020,Q$4,0)*PercIncr2021,VLOOKUP($O75,Data2020,Q$4,0))</f>
        <v>0.77193356987317086</v>
      </c>
      <c r="W75" s="116" t="str">
        <f>O75</f>
        <v>CEQASA</v>
      </c>
      <c r="Y75" s="116" t="str">
        <f>P75</f>
        <v>ASE Certification - A</v>
      </c>
      <c r="Z75" s="123">
        <f>Q75</f>
        <v>0.77193356987317086</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$0.772/hour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$1.544/hour</v>
      </c>
      <c r="C78" s="33"/>
      <c r="D78" s="33"/>
      <c r="E78" s="83"/>
      <c r="F78" s="33"/>
      <c r="G78" s="33"/>
      <c r="H78"/>
      <c r="I78"/>
      <c r="J78"/>
      <c r="K78" s="60"/>
      <c r="N78" s="140" t="s">
        <v>377</v>
      </c>
      <c r="O78" s="139" t="s">
        <v>332</v>
      </c>
      <c r="P78" s="139" t="s">
        <v>328</v>
      </c>
      <c r="Q78" s="147">
        <f>IF($N78="Y",VLOOKUP($O78,Data2020,Q$4,0)*PercIncr2021,VLOOKUP($O78,Data2020,Q$4,0))</f>
        <v>1.5438671397463417</v>
      </c>
      <c r="R78" s="154"/>
      <c r="W78" s="116" t="str">
        <f>O78</f>
        <v>CEQASB</v>
      </c>
      <c r="Y78" s="116" t="str">
        <f t="shared" ref="Y78:Z80" si="8">P78</f>
        <v>ASE Certification - B</v>
      </c>
      <c r="Z78" s="123">
        <f t="shared" si="8"/>
        <v>1.5438671397463417</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$2.316/hour</v>
      </c>
      <c r="E79" s="83"/>
      <c r="H79"/>
      <c r="I79"/>
      <c r="J79"/>
      <c r="K79" s="34"/>
      <c r="L79" s="34"/>
      <c r="N79" s="140" t="s">
        <v>377</v>
      </c>
      <c r="O79" s="139" t="s">
        <v>333</v>
      </c>
      <c r="P79" s="139" t="s">
        <v>329</v>
      </c>
      <c r="Q79" s="147">
        <f>IF($N79="Y",VLOOKUP($O79,Data2020,Q$4,0)*PercIncr2021,VLOOKUP($O79,Data2020,Q$4,0))</f>
        <v>2.3158007096195128</v>
      </c>
      <c r="R79" s="154"/>
      <c r="S79" s="140"/>
      <c r="T79" s="140"/>
      <c r="U79" s="140"/>
      <c r="W79" s="116" t="str">
        <f>O79</f>
        <v>CEQASC</v>
      </c>
      <c r="X79" s="117"/>
      <c r="Y79" s="116" t="str">
        <f t="shared" si="8"/>
        <v>ASE Certification - C</v>
      </c>
      <c r="Z79" s="123">
        <f t="shared" si="8"/>
        <v>2.3158007096195128</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$3.088/hour</v>
      </c>
      <c r="E80" s="83"/>
      <c r="H80"/>
      <c r="I80"/>
      <c r="J80"/>
      <c r="K80" s="34"/>
      <c r="L80" s="34"/>
      <c r="N80" s="140" t="s">
        <v>377</v>
      </c>
      <c r="O80" s="139" t="s">
        <v>334</v>
      </c>
      <c r="P80" s="139" t="s">
        <v>330</v>
      </c>
      <c r="Q80" s="147">
        <f>IF($N80="Y",VLOOKUP($O80,Data2020,Q$4,0)*PercIncr2021,VLOOKUP($O80,Data2020,Q$4,0))</f>
        <v>3.0877342794926834</v>
      </c>
      <c r="R80" s="154"/>
      <c r="S80" s="140"/>
      <c r="T80" s="140"/>
      <c r="U80" s="140"/>
      <c r="W80" s="116" t="str">
        <f>O80</f>
        <v>CEQASD</v>
      </c>
      <c r="X80" s="117"/>
      <c r="Y80" s="116" t="str">
        <f t="shared" si="8"/>
        <v>ASE Certification - D</v>
      </c>
      <c r="Z80" s="123">
        <f t="shared" si="8"/>
        <v>3.0877342794926834</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v>4231</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$3.860/hour</v>
      </c>
      <c r="C88" s="33"/>
      <c r="D88" s="33"/>
      <c r="E88" s="83"/>
      <c r="F88" s="33"/>
      <c r="G88" s="33"/>
      <c r="H88"/>
      <c r="I88"/>
      <c r="J88"/>
      <c r="K88" s="60"/>
      <c r="M88" s="2"/>
      <c r="N88" s="140" t="s">
        <v>377</v>
      </c>
      <c r="O88" s="139" t="s">
        <v>338</v>
      </c>
      <c r="P88" s="139" t="s">
        <v>335</v>
      </c>
      <c r="Q88" s="147">
        <f>IF($N88="Y",VLOOKUP($O88,Data2020,Q$4,0)*PercIncr2021,VLOOKUP($O88,Data2020,Q$4,0))</f>
        <v>3.8600449999999995</v>
      </c>
      <c r="R88" s="140"/>
      <c r="S88" s="140"/>
      <c r="T88" s="140"/>
      <c r="U88" s="140"/>
      <c r="V88" s="2"/>
      <c r="W88" s="116" t="str">
        <f>O88</f>
        <v>CEQASE</v>
      </c>
      <c r="X88" s="117"/>
      <c r="Y88" s="116" t="str">
        <f t="shared" ref="Y88:Z90" si="9">P88</f>
        <v>ASE Certification - E</v>
      </c>
      <c r="Z88" s="123">
        <f t="shared" si="9"/>
        <v>3.8600449999999995</v>
      </c>
      <c r="AA88" s="117"/>
      <c r="AB88" s="116"/>
      <c r="AC88" s="136"/>
      <c r="AD88" s="136"/>
    </row>
    <row r="89" spans="1:30" s="5" customFormat="1" x14ac:dyDescent="0.2">
      <c r="A89" s="113" t="s">
        <v>299</v>
      </c>
      <c r="B89" s="57" t="str">
        <f>"If an employee shows proof of successfully passing any twelve (12) of the ASE tests: "&amp;TEXT(Q89,"$0.000")&amp;"/hour"</f>
        <v>If an employee shows proof of successfully passing any twelve (12) of the ASE tests: $4.631/hour</v>
      </c>
      <c r="C89" s="33"/>
      <c r="D89" s="33"/>
      <c r="E89" s="83"/>
      <c r="F89" s="33"/>
      <c r="G89" s="33"/>
      <c r="H89" s="55"/>
      <c r="I89" s="61"/>
      <c r="J89" s="2"/>
      <c r="K89" s="60"/>
      <c r="M89" s="2"/>
      <c r="N89" s="140" t="s">
        <v>377</v>
      </c>
      <c r="O89" s="139" t="s">
        <v>339</v>
      </c>
      <c r="P89" s="139" t="s">
        <v>336</v>
      </c>
      <c r="Q89" s="147">
        <f>IF($N89="Y",VLOOKUP($O89,Data2020,Q$4,0)*PercIncr2021,VLOOKUP($O89,Data2020,Q$4,0))</f>
        <v>4.6314449999999994</v>
      </c>
      <c r="R89" s="140"/>
      <c r="S89" s="140"/>
      <c r="T89" s="140"/>
      <c r="U89" s="140"/>
      <c r="V89" s="2"/>
      <c r="W89" s="116" t="str">
        <f>O89</f>
        <v>CEQASF</v>
      </c>
      <c r="X89" s="117"/>
      <c r="Y89" s="116" t="str">
        <f t="shared" si="9"/>
        <v>ASE Certification - F</v>
      </c>
      <c r="Z89" s="123">
        <f t="shared" si="9"/>
        <v>4.6314449999999994</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$5.404 /hour</v>
      </c>
      <c r="C90" s="33"/>
      <c r="D90" s="33"/>
      <c r="E90" s="83"/>
      <c r="F90" s="33"/>
      <c r="G90" s="33"/>
      <c r="H90" s="55"/>
      <c r="I90" s="61"/>
      <c r="J90" s="2"/>
      <c r="K90" s="60"/>
      <c r="M90" s="2"/>
      <c r="N90" s="140" t="s">
        <v>377</v>
      </c>
      <c r="O90" s="139" t="s">
        <v>340</v>
      </c>
      <c r="P90" s="139" t="s">
        <v>337</v>
      </c>
      <c r="Q90" s="147">
        <f>IF($N90="Y",VLOOKUP($O90,Data2020,Q$4,0)*PercIncr2021,VLOOKUP($O90,Data2020,Q$4,0))</f>
        <v>5.403859999999999</v>
      </c>
      <c r="R90" s="140"/>
      <c r="S90" s="140"/>
      <c r="T90" s="140"/>
      <c r="U90" s="140"/>
      <c r="V90" s="2"/>
      <c r="W90" s="116" t="str">
        <f>O90</f>
        <v>CEQASG</v>
      </c>
      <c r="X90" s="117"/>
      <c r="Y90" s="116" t="str">
        <f t="shared" si="9"/>
        <v>ASE Certification - G</v>
      </c>
      <c r="Z90" s="123">
        <f t="shared" si="9"/>
        <v>5.403859999999999</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$1.023 per hour on all compensated</v>
      </c>
      <c r="B115" s="20"/>
      <c r="C115" s="19"/>
      <c r="D115" s="19"/>
      <c r="E115" s="80"/>
      <c r="F115" s="19"/>
      <c r="G115" s="19"/>
      <c r="H115" s="2"/>
      <c r="I115"/>
      <c r="J115"/>
      <c r="K115" s="45"/>
      <c r="L115" s="34"/>
      <c r="N115" s="140" t="s">
        <v>377</v>
      </c>
      <c r="O115" s="151" t="s">
        <v>353</v>
      </c>
      <c r="P115" s="151" t="s">
        <v>354</v>
      </c>
      <c r="Q115" s="147">
        <f>IF($N115="Y",VLOOKUP($O115,Data2020,Q$4,0)*PercIncr2021,VLOOKUP($O115,Data2020,Q$4,0))</f>
        <v>1.0231199999999998</v>
      </c>
      <c r="R115" s="140"/>
      <c r="S115" s="140"/>
      <c r="T115" s="140"/>
      <c r="U115" s="140"/>
      <c r="W115" s="116" t="str">
        <f>O115</f>
        <v>CEQOTR</v>
      </c>
      <c r="X115" s="117"/>
      <c r="Y115" s="116" t="str">
        <f>P115</f>
        <v>TL-Outside Truck Premium-CEQ</v>
      </c>
      <c r="Z115" s="123">
        <f>Q115</f>
        <v>1.0231199999999998</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$1.023 per hour for hours worked.</v>
      </c>
      <c r="B116" s="20"/>
      <c r="C116" s="19"/>
      <c r="D116" s="19"/>
      <c r="E116" s="80"/>
      <c r="F116" s="19"/>
      <c r="G116" s="19"/>
      <c r="I116"/>
      <c r="J116"/>
      <c r="Q116" s="147"/>
    </row>
    <row r="117" spans="1:30" s="33" customForma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$0.492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IF($N120="Y",VLOOKUP($O120,Data2020,Q$4,0)*PercIncr2021,VLOOKUP($O120,Data2020,Q$4,0))</f>
        <v>0.49227499999999996</v>
      </c>
      <c r="W120" s="116" t="str">
        <f>O120</f>
        <v>CEQCNF</v>
      </c>
      <c r="Y120" s="116" t="str">
        <f>P120</f>
        <v>TL-Confined Space Entry-CEQ</v>
      </c>
      <c r="Z120" s="123">
        <f>Q120</f>
        <v>0.49227499999999996</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IF($N137="Y",VLOOKUP($O137,Data2020,Q$4,0)*PercIncr2021,VLOOKUP($O137,Data2020,Q$4,0))</f>
        <v>1.4758099999999998</v>
      </c>
      <c r="W137" s="116" t="str">
        <f>O137</f>
        <v>CEQEVE</v>
      </c>
      <c r="Y137" s="116" t="str">
        <f t="shared" ref="Y137:Z139" si="10">P137</f>
        <v>TL-Evening Shift Premium-CEQ</v>
      </c>
      <c r="Z137" s="123">
        <f t="shared" si="10"/>
        <v>1.4758099999999998</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$1.476 per hour for all hours worked on the qualified shift,</v>
      </c>
      <c r="B138" s="20"/>
      <c r="C138" s="19"/>
      <c r="D138" s="19"/>
      <c r="E138" s="80"/>
      <c r="F138" s="19"/>
      <c r="G138" s="19"/>
      <c r="H138" s="37"/>
      <c r="I138" s="37"/>
      <c r="J138" s="37"/>
      <c r="N138" s="140" t="s">
        <v>377</v>
      </c>
      <c r="O138" s="139" t="s">
        <v>359</v>
      </c>
      <c r="P138" s="139" t="s">
        <v>360</v>
      </c>
      <c r="Q138" s="147">
        <f>IF($N138="Y",VLOOKUP($O138,Data2020,Q$4,0)*PercIncr2021,VLOOKUP($O138,Data2020,Q$4,0))</f>
        <v>1.4758099999999998</v>
      </c>
      <c r="W138" s="116" t="str">
        <f>O138</f>
        <v>CEQAM1</v>
      </c>
      <c r="Y138" s="116" t="str">
        <f t="shared" si="10"/>
        <v>TL-Morning Shift Premium CEQ</v>
      </c>
      <c r="Z138" s="123">
        <f t="shared" si="10"/>
        <v>1.4758099999999998</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IF($N139="Y",VLOOKUP($O139,Data2020,Q$4,0)*PercIncr2021,VLOOKUP($O139,Data2020,Q$4,0))</f>
        <v>1.4758099999999998</v>
      </c>
      <c r="W139" s="116" t="str">
        <f>O139</f>
        <v>CEQWKE</v>
      </c>
      <c r="Y139" s="116" t="str">
        <f t="shared" si="10"/>
        <v>TL-Weekend Shift-CEQ</v>
      </c>
      <c r="Z139" s="123">
        <f t="shared" si="10"/>
        <v>1.4758099999999998</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0.25374999999999998</v>
      </c>
      <c r="B145" s="57" t="s">
        <v>174</v>
      </c>
      <c r="C145" s="72"/>
      <c r="D145" s="72"/>
      <c r="E145" s="87"/>
      <c r="F145" s="73"/>
      <c r="G145" s="73"/>
      <c r="H145" s="37"/>
      <c r="I145" s="37"/>
      <c r="J145" s="55"/>
      <c r="N145" s="140" t="s">
        <v>377</v>
      </c>
      <c r="O145" s="139" t="s">
        <v>371</v>
      </c>
      <c r="Q145" s="147">
        <f>IF($N145="Y",VLOOKUP($O145,Data2020,Q$4,0)*PercIncr2021,VLOOKUP($O145,Data2020,Q$4,0))</f>
        <v>0.25374999999999998</v>
      </c>
      <c r="W145" s="116" t="str">
        <f>O145</f>
        <v>10th</v>
      </c>
      <c r="Y145" s="116">
        <f t="shared" ref="Y145:Z148" si="11">P145</f>
        <v>0</v>
      </c>
      <c r="Z145" s="123">
        <f t="shared" si="11"/>
        <v>0.25374999999999998</v>
      </c>
    </row>
    <row r="146" spans="1:30" s="5" customFormat="1" x14ac:dyDescent="0.2">
      <c r="A146" s="110">
        <f>Q146</f>
        <v>0.42731499999999994</v>
      </c>
      <c r="B146" s="57" t="s">
        <v>175</v>
      </c>
      <c r="C146" s="72"/>
      <c r="D146" s="72"/>
      <c r="E146" s="87"/>
      <c r="F146" s="73"/>
      <c r="G146" s="73"/>
      <c r="H146" s="37"/>
      <c r="I146" s="37"/>
      <c r="J146" s="55"/>
      <c r="K146" s="50"/>
      <c r="M146" s="2"/>
      <c r="N146" s="140" t="s">
        <v>377</v>
      </c>
      <c r="O146" s="139" t="s">
        <v>372</v>
      </c>
      <c r="P146" s="139"/>
      <c r="Q146" s="147">
        <f>IF($N146="Y",VLOOKUP($O146,Data2020,Q$4,0)*PercIncr2021,VLOOKUP($O146,Data2020,Q$4,0))</f>
        <v>0.42731499999999994</v>
      </c>
      <c r="R146" s="140"/>
      <c r="S146" s="140"/>
      <c r="T146" s="140"/>
      <c r="U146" s="140"/>
      <c r="V146" s="2"/>
      <c r="W146" s="116" t="str">
        <f>O146</f>
        <v>15th</v>
      </c>
      <c r="X146" s="117"/>
      <c r="Y146" s="116">
        <f t="shared" si="11"/>
        <v>0</v>
      </c>
      <c r="Z146" s="123">
        <f t="shared" si="11"/>
        <v>0.42731499999999994</v>
      </c>
      <c r="AA146" s="117"/>
      <c r="AB146" s="116"/>
      <c r="AC146" s="136"/>
      <c r="AD146" s="136"/>
    </row>
    <row r="147" spans="1:30" s="5" customFormat="1" x14ac:dyDescent="0.2">
      <c r="A147" s="110">
        <f>Q147</f>
        <v>0.50546999999999997</v>
      </c>
      <c r="B147" s="57" t="s">
        <v>176</v>
      </c>
      <c r="C147" s="72"/>
      <c r="D147" s="72"/>
      <c r="E147" s="87"/>
      <c r="F147" s="73"/>
      <c r="G147" s="73"/>
      <c r="H147" s="37"/>
      <c r="I147" s="37"/>
      <c r="J147" s="55"/>
      <c r="K147" s="50"/>
      <c r="M147" s="2"/>
      <c r="N147" s="140" t="s">
        <v>377</v>
      </c>
      <c r="O147" s="139" t="s">
        <v>373</v>
      </c>
      <c r="P147" s="139"/>
      <c r="Q147" s="147">
        <f>IF($N147="Y",VLOOKUP($O147,Data2020,Q$4,0)*PercIncr2021,VLOOKUP($O147,Data2020,Q$4,0))</f>
        <v>0.50546999999999997</v>
      </c>
      <c r="R147" s="140"/>
      <c r="S147" s="140"/>
      <c r="T147" s="140"/>
      <c r="U147" s="140"/>
      <c r="V147" s="2"/>
      <c r="W147" s="116" t="str">
        <f>O147</f>
        <v>20th</v>
      </c>
      <c r="X147" s="117"/>
      <c r="Y147" s="116">
        <f t="shared" si="11"/>
        <v>0</v>
      </c>
      <c r="Z147" s="123">
        <f t="shared" si="11"/>
        <v>0.50546999999999997</v>
      </c>
      <c r="AA147" s="117"/>
      <c r="AB147" s="116"/>
      <c r="AC147" s="136"/>
      <c r="AD147" s="136"/>
    </row>
    <row r="148" spans="1:30" s="5" customFormat="1" x14ac:dyDescent="0.2">
      <c r="A148" s="110">
        <f>Q148</f>
        <v>0.72673999999999994</v>
      </c>
      <c r="B148" s="57" t="s">
        <v>177</v>
      </c>
      <c r="C148" s="72"/>
      <c r="D148" s="72"/>
      <c r="E148" s="87"/>
      <c r="F148" s="73"/>
      <c r="G148" s="73"/>
      <c r="H148" s="37"/>
      <c r="I148" s="37"/>
      <c r="J148" s="55"/>
      <c r="K148" s="50"/>
      <c r="M148" s="2"/>
      <c r="N148" s="140" t="s">
        <v>377</v>
      </c>
      <c r="O148" s="139" t="s">
        <v>374</v>
      </c>
      <c r="P148" s="139"/>
      <c r="Q148" s="147">
        <f>IF($N148="Y",VLOOKUP($O148,Data2020,Q$4,0)*PercIncr2021,VLOOKUP($O148,Data2020,Q$4,0))</f>
        <v>0.72673999999999994</v>
      </c>
      <c r="R148" s="140"/>
      <c r="S148" s="140"/>
      <c r="T148" s="140"/>
      <c r="U148" s="140"/>
      <c r="V148" s="2"/>
      <c r="W148" s="116" t="str">
        <f>O148</f>
        <v>25th</v>
      </c>
      <c r="X148" s="117"/>
      <c r="Y148" s="116">
        <f t="shared" si="11"/>
        <v>0</v>
      </c>
      <c r="Z148" s="123">
        <f t="shared" si="11"/>
        <v>0.72673999999999994</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$3.238 per hour for all hours shall be paid.</v>
      </c>
      <c r="B152" s="2"/>
      <c r="C152" s="2"/>
      <c r="D152" s="2"/>
      <c r="E152" s="77"/>
      <c r="F152" s="2"/>
      <c r="G152" s="2"/>
      <c r="H152" s="2"/>
      <c r="I152" s="2"/>
      <c r="J152" s="2"/>
      <c r="M152" s="2"/>
      <c r="N152" s="140" t="s">
        <v>377</v>
      </c>
      <c r="O152" s="139" t="s">
        <v>363</v>
      </c>
      <c r="P152" s="139" t="s">
        <v>364</v>
      </c>
      <c r="Q152" s="147">
        <f>IF($N152="Y",VLOOKUP($O152,Data2020,Q$4,0)*PercIncr2021,VLOOKUP($O152,Data2020,Q$4,0))</f>
        <v>3.2378499999999995</v>
      </c>
      <c r="R152" s="140"/>
      <c r="S152" s="140"/>
      <c r="T152" s="140"/>
      <c r="U152" s="140"/>
      <c r="V152" s="2"/>
      <c r="W152" s="116" t="str">
        <f>O152</f>
        <v>CEQTPP</v>
      </c>
      <c r="X152" s="117"/>
      <c r="Y152" s="116" t="str">
        <f>P152</f>
        <v>TL-Training Premium Pay-CEQ</v>
      </c>
      <c r="Z152" s="123">
        <f>Q152</f>
        <v>3.2378499999999995</v>
      </c>
      <c r="AA152" s="117"/>
      <c r="AB152" s="116"/>
      <c r="AC152" s="136"/>
      <c r="AD152" s="136"/>
    </row>
    <row r="153" spans="1:30" x14ac:dyDescent="0.2">
      <c r="Q153" s="147"/>
      <c r="AC153" s="136"/>
      <c r="AD153" s="136"/>
    </row>
    <row r="154" spans="1:30" x14ac:dyDescent="0.2">
      <c r="A154" s="70" t="s">
        <v>199</v>
      </c>
    </row>
  </sheetData>
  <pageMargins left="0.25" right="0.25" top="0.75" bottom="0.75" header="0.3" footer="0.3"/>
  <pageSetup scale="9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28</vt:i4>
      </vt:variant>
    </vt:vector>
  </HeadingPairs>
  <TitlesOfParts>
    <vt:vector size="44" baseType="lpstr">
      <vt:lpstr>01 01 2017</vt:lpstr>
      <vt:lpstr>01 01 2018</vt:lpstr>
      <vt:lpstr>10 14 2018</vt:lpstr>
      <vt:lpstr>5 12 2019 - removed 6-4-19</vt:lpstr>
      <vt:lpstr>1 1 2019</vt:lpstr>
      <vt:lpstr>5 12 2019</vt:lpstr>
      <vt:lpstr>1 1 2020</vt:lpstr>
      <vt:lpstr>1 1 2020 </vt:lpstr>
      <vt:lpstr>1-1-2021</vt:lpstr>
      <vt:lpstr>1-1-2022</vt:lpstr>
      <vt:lpstr>1-1-2023</vt:lpstr>
      <vt:lpstr>1-1-2024</vt:lpstr>
      <vt:lpstr>7-1-2024</vt:lpstr>
      <vt:lpstr>1-1-2025</vt:lpstr>
      <vt:lpstr>1-1-2026</vt:lpstr>
      <vt:lpstr>Notes</vt:lpstr>
      <vt:lpstr>Data2020</vt:lpstr>
      <vt:lpstr>Data2021</vt:lpstr>
      <vt:lpstr>Data2022</vt:lpstr>
      <vt:lpstr>Data2023</vt:lpstr>
      <vt:lpstr>'1-1-2024'!Data2024</vt:lpstr>
      <vt:lpstr>Data2024</vt:lpstr>
      <vt:lpstr>Data2025</vt:lpstr>
      <vt:lpstr>Pension2020</vt:lpstr>
      <vt:lpstr>Pension2021</vt:lpstr>
      <vt:lpstr>Pension2022</vt:lpstr>
      <vt:lpstr>Pension2023</vt:lpstr>
      <vt:lpstr>'1-1-2024'!Pension2024</vt:lpstr>
      <vt:lpstr>Pension2024</vt:lpstr>
      <vt:lpstr>PercIncr2021</vt:lpstr>
      <vt:lpstr>PercIncr2022</vt:lpstr>
      <vt:lpstr>PercIncr2023</vt:lpstr>
      <vt:lpstr>'1-1-2024'!PercIncr2024</vt:lpstr>
      <vt:lpstr>PercIncr2024</vt:lpstr>
      <vt:lpstr>PercIncr2025</vt:lpstr>
      <vt:lpstr>PercIncr2026</vt:lpstr>
      <vt:lpstr>'01 01 2017'!Print_Area</vt:lpstr>
      <vt:lpstr>'01 01 2018'!Print_Area</vt:lpstr>
      <vt:lpstr>'1 1 2019'!Print_Area</vt:lpstr>
      <vt:lpstr>'1 1 2020'!Print_Area</vt:lpstr>
      <vt:lpstr>'1 1 2020 '!Print_Area</vt:lpstr>
      <vt:lpstr>'10 14 2018'!Print_Area</vt:lpstr>
      <vt:lpstr>'5 12 2019'!Print_Area</vt:lpstr>
      <vt:lpstr>'5 12 2019 - removed 6-4-19'!Print_Area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 Union of Operating Engineers CEQ Salary Schedule. From 2024-2026. Posted 7-15-2024</dc:title>
  <dc:creator>City of Minneapolis Human Resources, Classification and Compensation; Howatt, Erick S</dc:creator>
  <cp:lastModifiedBy>Miller, Brenda (she/her/hers)</cp:lastModifiedBy>
  <cp:lastPrinted>2025-12-18T14:27:59Z</cp:lastPrinted>
  <dcterms:created xsi:type="dcterms:W3CDTF">2018-09-28T16:03:58Z</dcterms:created>
  <dcterms:modified xsi:type="dcterms:W3CDTF">2026-07-27T13:33:09Z</dcterms:modified>
</cp:coreProperties>
</file>